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йскуранты_2025\ТВЕРЬ\"/>
    </mc:Choice>
  </mc:AlternateContent>
  <bookViews>
    <workbookView xWindow="0" yWindow="0" windowWidth="28800" windowHeight="12330" tabRatio="877" activeTab="5"/>
  </bookViews>
  <sheets>
    <sheet name="Предложения" sheetId="55" r:id="rId1"/>
    <sheet name="Кольцово Акция до 31.03." sheetId="57" r:id="rId2"/>
    <sheet name="СБЕРБАНК ВЛ АКЦИЯ до 31.03." sheetId="58" r:id="rId3"/>
    <sheet name="ЖК ВЛ АКЦИЯ до 31.03." sheetId="54" r:id="rId4"/>
    <sheet name="ЖК ВЛ" sheetId="36" r:id="rId5"/>
    <sheet name="СБЕРБАНК ЛМ3 Акция до 31.03" sheetId="59" r:id="rId6"/>
    <sheet name="ЖК ЛМ3 Акция до 31.03" sheetId="56" r:id="rId7"/>
    <sheet name="ЖК ЛМ3" sheetId="35" r:id="rId8"/>
    <sheet name="СБЕРБАНК Медовый" sheetId="60" r:id="rId9"/>
    <sheet name="ЖК Медовый" sheetId="42" r:id="rId10"/>
  </sheets>
  <definedNames>
    <definedName name="_xlnm._FilterDatabase" localSheetId="4" hidden="1">'ЖК ВЛ'!#REF!</definedName>
    <definedName name="_xlnm._FilterDatabase" localSheetId="3" hidden="1">'ЖК ВЛ АКЦИЯ до 31.03.'!#REF!</definedName>
    <definedName name="_xlnm._FilterDatabase" localSheetId="2" hidden="1">'СБЕРБАНК ВЛ АКЦИЯ до 31.03.'!#REF!</definedName>
  </definedNames>
  <calcPr calcId="162913"/>
</workbook>
</file>

<file path=xl/calcChain.xml><?xml version="1.0" encoding="utf-8"?>
<calcChain xmlns="http://schemas.openxmlformats.org/spreadsheetml/2006/main">
  <c r="E80" i="42" l="1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99" i="42"/>
  <c r="E100" i="42"/>
  <c r="E101" i="42"/>
  <c r="E102" i="42"/>
  <c r="E103" i="42"/>
  <c r="E104" i="42"/>
  <c r="E105" i="42"/>
  <c r="E106" i="42"/>
  <c r="E107" i="42"/>
  <c r="E79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99" i="42"/>
  <c r="C100" i="42"/>
  <c r="C101" i="42"/>
  <c r="C102" i="42"/>
  <c r="C103" i="42"/>
  <c r="C104" i="42"/>
  <c r="C105" i="42"/>
  <c r="C106" i="42"/>
  <c r="C107" i="42"/>
  <c r="C75" i="42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87" i="36"/>
  <c r="I88" i="36"/>
  <c r="I89" i="36"/>
  <c r="I90" i="36"/>
  <c r="I91" i="36"/>
  <c r="I92" i="36"/>
  <c r="I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90" i="36"/>
  <c r="G91" i="36"/>
  <c r="G92" i="36"/>
  <c r="G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65" i="36"/>
  <c r="I43" i="35" l="1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43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44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45" i="35"/>
  <c r="G59" i="56"/>
  <c r="E59" i="56"/>
  <c r="C59" i="56"/>
  <c r="E58" i="56"/>
  <c r="C58" i="56"/>
  <c r="G57" i="56"/>
  <c r="E57" i="56"/>
  <c r="C57" i="56"/>
  <c r="G56" i="56"/>
  <c r="E56" i="56"/>
  <c r="C56" i="56"/>
  <c r="G55" i="56"/>
  <c r="E55" i="56"/>
  <c r="C55" i="56"/>
  <c r="G54" i="56"/>
  <c r="E54" i="56"/>
  <c r="G53" i="56"/>
  <c r="E53" i="56"/>
  <c r="C53" i="56"/>
  <c r="G52" i="56"/>
  <c r="E52" i="56"/>
  <c r="C52" i="56"/>
  <c r="G51" i="56"/>
  <c r="E51" i="56"/>
  <c r="C51" i="56"/>
  <c r="G50" i="56"/>
  <c r="E50" i="56"/>
  <c r="C50" i="56"/>
  <c r="G49" i="56"/>
  <c r="E49" i="56"/>
  <c r="C49" i="56"/>
  <c r="G48" i="56"/>
  <c r="E48" i="56"/>
  <c r="C48" i="56"/>
  <c r="G47" i="56"/>
  <c r="E47" i="56"/>
  <c r="C47" i="56"/>
  <c r="G46" i="56"/>
  <c r="E46" i="56"/>
  <c r="C46" i="56"/>
  <c r="G45" i="56"/>
  <c r="E45" i="56"/>
  <c r="C45" i="56"/>
  <c r="G44" i="56"/>
  <c r="E44" i="56"/>
  <c r="I43" i="56"/>
  <c r="G43" i="56"/>
  <c r="F4" i="57"/>
  <c r="F5" i="57"/>
  <c r="F6" i="57"/>
  <c r="F7" i="57"/>
  <c r="F8" i="57"/>
  <c r="F9" i="57"/>
  <c r="F10" i="57"/>
  <c r="F11" i="57"/>
  <c r="F12" i="57"/>
  <c r="F13" i="57"/>
  <c r="F3" i="57"/>
  <c r="I92" i="54"/>
  <c r="G92" i="54"/>
  <c r="E92" i="54"/>
  <c r="C92" i="54"/>
  <c r="I91" i="54"/>
  <c r="G91" i="54"/>
  <c r="E91" i="54"/>
  <c r="C91" i="54"/>
  <c r="I90" i="54"/>
  <c r="G90" i="54"/>
  <c r="E90" i="54"/>
  <c r="C90" i="54"/>
  <c r="I89" i="54"/>
  <c r="G89" i="54"/>
  <c r="E89" i="54"/>
  <c r="C89" i="54"/>
  <c r="I88" i="54"/>
  <c r="G88" i="54"/>
  <c r="E88" i="54"/>
  <c r="C88" i="54"/>
  <c r="I87" i="54"/>
  <c r="G87" i="54"/>
  <c r="E87" i="54"/>
  <c r="C87" i="54"/>
  <c r="I86" i="54"/>
  <c r="G86" i="54"/>
  <c r="E86" i="54"/>
  <c r="C86" i="54"/>
  <c r="I85" i="54"/>
  <c r="G85" i="54"/>
  <c r="E85" i="54"/>
  <c r="C85" i="54"/>
  <c r="I84" i="54"/>
  <c r="G84" i="54"/>
  <c r="E84" i="54"/>
  <c r="C84" i="54"/>
  <c r="I83" i="54"/>
  <c r="G83" i="54"/>
  <c r="E83" i="54"/>
  <c r="C83" i="54"/>
  <c r="I82" i="54"/>
  <c r="G82" i="54"/>
  <c r="E82" i="54"/>
  <c r="C82" i="54"/>
  <c r="I81" i="54"/>
  <c r="G81" i="54"/>
  <c r="E81" i="54"/>
  <c r="C81" i="54"/>
  <c r="I80" i="54"/>
  <c r="G80" i="54"/>
  <c r="E80" i="54"/>
  <c r="C80" i="54"/>
  <c r="I79" i="54"/>
  <c r="G79" i="54"/>
  <c r="E79" i="54"/>
  <c r="C79" i="54"/>
  <c r="I78" i="54"/>
  <c r="G78" i="54"/>
  <c r="E78" i="54"/>
  <c r="C78" i="54"/>
  <c r="I77" i="54"/>
  <c r="G77" i="54"/>
  <c r="E77" i="54"/>
  <c r="C77" i="54"/>
  <c r="I76" i="54"/>
  <c r="G76" i="54"/>
  <c r="E76" i="54"/>
  <c r="C76" i="54"/>
  <c r="I75" i="54"/>
  <c r="G75" i="54"/>
  <c r="E75" i="54"/>
  <c r="C75" i="54"/>
  <c r="I74" i="54"/>
  <c r="G74" i="54"/>
  <c r="E74" i="54"/>
  <c r="C74" i="54"/>
  <c r="I73" i="54"/>
  <c r="G73" i="54"/>
  <c r="E73" i="54"/>
  <c r="C73" i="54"/>
  <c r="I72" i="54"/>
  <c r="G72" i="54"/>
  <c r="E72" i="54"/>
  <c r="C72" i="54"/>
  <c r="I71" i="54"/>
  <c r="G71" i="54"/>
  <c r="E71" i="54"/>
  <c r="C71" i="54"/>
  <c r="I70" i="54"/>
  <c r="G70" i="54"/>
  <c r="E70" i="54"/>
  <c r="C70" i="54"/>
  <c r="I69" i="54"/>
  <c r="G69" i="54"/>
  <c r="E69" i="54"/>
  <c r="C69" i="54"/>
  <c r="I68" i="54"/>
  <c r="G68" i="54"/>
  <c r="E68" i="54"/>
  <c r="C68" i="54"/>
  <c r="I67" i="54"/>
  <c r="G67" i="54"/>
  <c r="E67" i="54"/>
  <c r="C67" i="54"/>
  <c r="I66" i="54"/>
  <c r="G66" i="54"/>
  <c r="E66" i="54"/>
  <c r="C66" i="54"/>
  <c r="I65" i="54"/>
  <c r="G65" i="54"/>
  <c r="E65" i="54"/>
  <c r="C65" i="54"/>
  <c r="U10" i="56"/>
  <c r="P10" i="56"/>
  <c r="N10" i="56"/>
  <c r="Q10" i="56" l="1"/>
  <c r="S10" i="56" s="1"/>
  <c r="V10" i="56" s="1"/>
  <c r="W10" i="56" s="1"/>
  <c r="C3" i="60"/>
  <c r="C4" i="60"/>
  <c r="C5" i="60"/>
  <c r="C6" i="60"/>
  <c r="C7" i="60"/>
  <c r="E7" i="60"/>
  <c r="C8" i="60"/>
  <c r="E8" i="60"/>
  <c r="C9" i="60"/>
  <c r="E9" i="60"/>
  <c r="C10" i="60"/>
  <c r="E10" i="60"/>
  <c r="C11" i="60"/>
  <c r="E11" i="60"/>
  <c r="C12" i="60"/>
  <c r="E12" i="60"/>
  <c r="C13" i="60"/>
  <c r="E13" i="60"/>
  <c r="C14" i="60"/>
  <c r="E14" i="60"/>
  <c r="C15" i="60"/>
  <c r="E15" i="60"/>
  <c r="C16" i="60"/>
  <c r="E16" i="60"/>
  <c r="C17" i="60"/>
  <c r="E17" i="60"/>
  <c r="C18" i="60"/>
  <c r="E18" i="60"/>
  <c r="C19" i="60"/>
  <c r="E19" i="60"/>
  <c r="C20" i="60"/>
  <c r="E20" i="60"/>
  <c r="C21" i="60"/>
  <c r="E21" i="60"/>
  <c r="C22" i="60"/>
  <c r="E22" i="60"/>
  <c r="C23" i="60"/>
  <c r="E23" i="60"/>
  <c r="C24" i="60"/>
  <c r="E24" i="60"/>
  <c r="C25" i="60"/>
  <c r="E25" i="60"/>
  <c r="C26" i="60"/>
  <c r="E26" i="60"/>
  <c r="C27" i="60"/>
  <c r="E27" i="60"/>
  <c r="C28" i="60"/>
  <c r="E28" i="60"/>
  <c r="C29" i="60"/>
  <c r="E29" i="60"/>
  <c r="C30" i="60"/>
  <c r="E30" i="60"/>
  <c r="C31" i="60"/>
  <c r="E31" i="60"/>
  <c r="C32" i="60"/>
  <c r="E32" i="60"/>
  <c r="C33" i="60"/>
  <c r="E33" i="60"/>
  <c r="C34" i="60"/>
  <c r="E34" i="60"/>
  <c r="C35" i="60"/>
  <c r="E35" i="60"/>
  <c r="E107" i="60"/>
  <c r="C107" i="60"/>
  <c r="E106" i="60"/>
  <c r="C106" i="60"/>
  <c r="E105" i="60"/>
  <c r="C105" i="60"/>
  <c r="E104" i="60"/>
  <c r="C104" i="60"/>
  <c r="E103" i="60"/>
  <c r="C103" i="60"/>
  <c r="E102" i="60"/>
  <c r="C102" i="60"/>
  <c r="E101" i="60"/>
  <c r="C101" i="60"/>
  <c r="E100" i="60"/>
  <c r="C100" i="60"/>
  <c r="E99" i="60"/>
  <c r="C99" i="60"/>
  <c r="E98" i="60"/>
  <c r="C98" i="60"/>
  <c r="E97" i="60"/>
  <c r="C97" i="60"/>
  <c r="E96" i="60"/>
  <c r="C96" i="60"/>
  <c r="E95" i="60"/>
  <c r="C95" i="60"/>
  <c r="E94" i="60"/>
  <c r="C94" i="60"/>
  <c r="E93" i="60"/>
  <c r="C93" i="60"/>
  <c r="E92" i="60"/>
  <c r="C92" i="60"/>
  <c r="E91" i="60"/>
  <c r="C91" i="60"/>
  <c r="E90" i="60"/>
  <c r="C90" i="60"/>
  <c r="E89" i="60"/>
  <c r="C89" i="60"/>
  <c r="E88" i="60"/>
  <c r="C88" i="60"/>
  <c r="E87" i="60"/>
  <c r="C87" i="60"/>
  <c r="E86" i="60"/>
  <c r="C86" i="60"/>
  <c r="E85" i="60"/>
  <c r="C85" i="60"/>
  <c r="E84" i="60"/>
  <c r="C84" i="60"/>
  <c r="E83" i="60"/>
  <c r="C83" i="60"/>
  <c r="E82" i="60"/>
  <c r="C82" i="60"/>
  <c r="E81" i="60"/>
  <c r="C81" i="60"/>
  <c r="E80" i="60"/>
  <c r="C80" i="60"/>
  <c r="E79" i="60"/>
  <c r="C79" i="60"/>
  <c r="C78" i="60"/>
  <c r="C77" i="60"/>
  <c r="C76" i="60"/>
  <c r="C75" i="60"/>
  <c r="E71" i="60"/>
  <c r="C71" i="60"/>
  <c r="E70" i="60"/>
  <c r="C70" i="60"/>
  <c r="E69" i="60"/>
  <c r="C69" i="60"/>
  <c r="E68" i="60"/>
  <c r="C68" i="60"/>
  <c r="E67" i="60"/>
  <c r="C67" i="60"/>
  <c r="E66" i="60"/>
  <c r="C66" i="60"/>
  <c r="E65" i="60"/>
  <c r="C65" i="60"/>
  <c r="E64" i="60"/>
  <c r="C64" i="60"/>
  <c r="E63" i="60"/>
  <c r="C63" i="60"/>
  <c r="E62" i="60"/>
  <c r="C62" i="60"/>
  <c r="E61" i="60"/>
  <c r="C61" i="60"/>
  <c r="E60" i="60"/>
  <c r="C60" i="60"/>
  <c r="E59" i="60"/>
  <c r="C59" i="60"/>
  <c r="E58" i="60"/>
  <c r="C58" i="60"/>
  <c r="E57" i="60"/>
  <c r="C57" i="60"/>
  <c r="E56" i="60"/>
  <c r="C56" i="60"/>
  <c r="E55" i="60"/>
  <c r="C55" i="60"/>
  <c r="E54" i="60"/>
  <c r="C54" i="60"/>
  <c r="E53" i="60"/>
  <c r="C53" i="60"/>
  <c r="E52" i="60"/>
  <c r="C52" i="60"/>
  <c r="E51" i="60"/>
  <c r="C51" i="60"/>
  <c r="E50" i="60"/>
  <c r="C50" i="60"/>
  <c r="E49" i="60"/>
  <c r="C49" i="60"/>
  <c r="E48" i="60"/>
  <c r="C48" i="60"/>
  <c r="E47" i="60"/>
  <c r="C47" i="60"/>
  <c r="E46" i="60"/>
  <c r="C46" i="60"/>
  <c r="E45" i="60"/>
  <c r="C45" i="60"/>
  <c r="E44" i="60"/>
  <c r="C44" i="60"/>
  <c r="E43" i="60"/>
  <c r="C43" i="60"/>
  <c r="C42" i="60"/>
  <c r="C41" i="60"/>
  <c r="C40" i="60"/>
  <c r="C39" i="60"/>
  <c r="G59" i="59" l="1"/>
  <c r="E59" i="59"/>
  <c r="C59" i="59"/>
  <c r="E58" i="59"/>
  <c r="C58" i="59"/>
  <c r="G57" i="59"/>
  <c r="E57" i="59"/>
  <c r="C57" i="59"/>
  <c r="G56" i="59"/>
  <c r="E56" i="59"/>
  <c r="C56" i="59"/>
  <c r="G55" i="59"/>
  <c r="E55" i="59"/>
  <c r="C55" i="59"/>
  <c r="G54" i="59"/>
  <c r="E54" i="59"/>
  <c r="G53" i="59"/>
  <c r="E53" i="59"/>
  <c r="C53" i="59"/>
  <c r="G52" i="59"/>
  <c r="E52" i="59"/>
  <c r="C52" i="59"/>
  <c r="G51" i="59"/>
  <c r="E51" i="59"/>
  <c r="C51" i="59"/>
  <c r="G50" i="59"/>
  <c r="E50" i="59"/>
  <c r="C50" i="59"/>
  <c r="G49" i="59"/>
  <c r="E49" i="59"/>
  <c r="C49" i="59"/>
  <c r="G48" i="59"/>
  <c r="E48" i="59"/>
  <c r="C48" i="59"/>
  <c r="G47" i="59"/>
  <c r="E47" i="59"/>
  <c r="C47" i="59"/>
  <c r="G46" i="59"/>
  <c r="E46" i="59"/>
  <c r="C46" i="59"/>
  <c r="G45" i="59"/>
  <c r="E45" i="59"/>
  <c r="C45" i="59"/>
  <c r="G44" i="59"/>
  <c r="E44" i="59"/>
  <c r="I43" i="59"/>
  <c r="G43" i="59"/>
  <c r="G39" i="59"/>
  <c r="E39" i="59"/>
  <c r="C39" i="59"/>
  <c r="E38" i="59"/>
  <c r="C38" i="59"/>
  <c r="G37" i="59"/>
  <c r="E37" i="59"/>
  <c r="C37" i="59"/>
  <c r="G36" i="59"/>
  <c r="E36" i="59"/>
  <c r="C36" i="59"/>
  <c r="G35" i="59"/>
  <c r="E35" i="59"/>
  <c r="C35" i="59"/>
  <c r="G34" i="59"/>
  <c r="E34" i="59"/>
  <c r="G33" i="59"/>
  <c r="E33" i="59"/>
  <c r="C33" i="59"/>
  <c r="G32" i="59"/>
  <c r="E32" i="59"/>
  <c r="C32" i="59"/>
  <c r="G31" i="59"/>
  <c r="E31" i="59"/>
  <c r="C31" i="59"/>
  <c r="G30" i="59"/>
  <c r="E30" i="59"/>
  <c r="C30" i="59"/>
  <c r="G29" i="59"/>
  <c r="E29" i="59"/>
  <c r="C29" i="59"/>
  <c r="G28" i="59"/>
  <c r="E28" i="59"/>
  <c r="C28" i="59"/>
  <c r="G27" i="59"/>
  <c r="E27" i="59"/>
  <c r="C27" i="59"/>
  <c r="G26" i="59"/>
  <c r="E26" i="59"/>
  <c r="C26" i="59"/>
  <c r="G25" i="59"/>
  <c r="E25" i="59"/>
  <c r="C25" i="59"/>
  <c r="G24" i="59"/>
  <c r="E24" i="59"/>
  <c r="I23" i="59"/>
  <c r="G23" i="59"/>
  <c r="G19" i="59"/>
  <c r="E19" i="59"/>
  <c r="C19" i="59"/>
  <c r="E18" i="59"/>
  <c r="C18" i="59"/>
  <c r="G17" i="59"/>
  <c r="E17" i="59"/>
  <c r="C17" i="59"/>
  <c r="G16" i="59"/>
  <c r="E16" i="59"/>
  <c r="C16" i="59"/>
  <c r="G15" i="59"/>
  <c r="E15" i="59"/>
  <c r="C15" i="59"/>
  <c r="G14" i="59"/>
  <c r="E14" i="59"/>
  <c r="G13" i="59"/>
  <c r="E13" i="59"/>
  <c r="C13" i="59"/>
  <c r="G12" i="59"/>
  <c r="E12" i="59"/>
  <c r="C12" i="59"/>
  <c r="G11" i="59"/>
  <c r="E11" i="59"/>
  <c r="C11" i="59"/>
  <c r="G10" i="59"/>
  <c r="E10" i="59"/>
  <c r="C10" i="59"/>
  <c r="G9" i="59"/>
  <c r="E9" i="59"/>
  <c r="C9" i="59"/>
  <c r="G8" i="59"/>
  <c r="E8" i="59"/>
  <c r="C8" i="59"/>
  <c r="G7" i="59"/>
  <c r="E7" i="59"/>
  <c r="C7" i="59"/>
  <c r="G6" i="59"/>
  <c r="E6" i="59"/>
  <c r="C6" i="59"/>
  <c r="G5" i="59"/>
  <c r="E5" i="59"/>
  <c r="C5" i="59"/>
  <c r="G4" i="59"/>
  <c r="E4" i="59"/>
  <c r="I3" i="59"/>
  <c r="G3" i="59"/>
  <c r="I92" i="58"/>
  <c r="G92" i="58"/>
  <c r="E92" i="58"/>
  <c r="C92" i="58"/>
  <c r="I91" i="58"/>
  <c r="G91" i="58"/>
  <c r="E91" i="58"/>
  <c r="C91" i="58"/>
  <c r="I90" i="58"/>
  <c r="G90" i="58"/>
  <c r="E90" i="58"/>
  <c r="C90" i="58"/>
  <c r="I89" i="58"/>
  <c r="G89" i="58"/>
  <c r="E89" i="58"/>
  <c r="C89" i="58"/>
  <c r="I88" i="58"/>
  <c r="G88" i="58"/>
  <c r="E88" i="58"/>
  <c r="C88" i="58"/>
  <c r="I87" i="58"/>
  <c r="G87" i="58"/>
  <c r="E87" i="58"/>
  <c r="C87" i="58"/>
  <c r="I86" i="58"/>
  <c r="G86" i="58"/>
  <c r="E86" i="58"/>
  <c r="C86" i="58"/>
  <c r="I85" i="58"/>
  <c r="G85" i="58"/>
  <c r="E85" i="58"/>
  <c r="C85" i="58"/>
  <c r="I84" i="58"/>
  <c r="G84" i="58"/>
  <c r="E84" i="58"/>
  <c r="C84" i="58"/>
  <c r="I83" i="58"/>
  <c r="G83" i="58"/>
  <c r="E83" i="58"/>
  <c r="C83" i="58"/>
  <c r="I82" i="58"/>
  <c r="G82" i="58"/>
  <c r="E82" i="58"/>
  <c r="C82" i="58"/>
  <c r="I81" i="58"/>
  <c r="G81" i="58"/>
  <c r="E81" i="58"/>
  <c r="C81" i="58"/>
  <c r="I80" i="58"/>
  <c r="G80" i="58"/>
  <c r="E80" i="58"/>
  <c r="C80" i="58"/>
  <c r="I79" i="58"/>
  <c r="G79" i="58"/>
  <c r="E79" i="58"/>
  <c r="C79" i="58"/>
  <c r="I78" i="58"/>
  <c r="G78" i="58"/>
  <c r="E78" i="58"/>
  <c r="C78" i="58"/>
  <c r="I77" i="58"/>
  <c r="G77" i="58"/>
  <c r="E77" i="58"/>
  <c r="C77" i="58"/>
  <c r="I76" i="58"/>
  <c r="G76" i="58"/>
  <c r="E76" i="58"/>
  <c r="C76" i="58"/>
  <c r="I75" i="58"/>
  <c r="G75" i="58"/>
  <c r="E75" i="58"/>
  <c r="C75" i="58"/>
  <c r="I74" i="58"/>
  <c r="G74" i="58"/>
  <c r="E74" i="58"/>
  <c r="C74" i="58"/>
  <c r="I73" i="58"/>
  <c r="G73" i="58"/>
  <c r="E73" i="58"/>
  <c r="C73" i="58"/>
  <c r="I72" i="58"/>
  <c r="G72" i="58"/>
  <c r="E72" i="58"/>
  <c r="C72" i="58"/>
  <c r="I71" i="58"/>
  <c r="G71" i="58"/>
  <c r="E71" i="58"/>
  <c r="C71" i="58"/>
  <c r="I70" i="58"/>
  <c r="G70" i="58"/>
  <c r="E70" i="58"/>
  <c r="C70" i="58"/>
  <c r="I69" i="58"/>
  <c r="G69" i="58"/>
  <c r="E69" i="58"/>
  <c r="C69" i="58"/>
  <c r="I68" i="58"/>
  <c r="G68" i="58"/>
  <c r="E68" i="58"/>
  <c r="C68" i="58"/>
  <c r="I67" i="58"/>
  <c r="G67" i="58"/>
  <c r="E67" i="58"/>
  <c r="C67" i="58"/>
  <c r="I66" i="58"/>
  <c r="G66" i="58"/>
  <c r="E66" i="58"/>
  <c r="C66" i="58"/>
  <c r="I65" i="58"/>
  <c r="G65" i="58"/>
  <c r="E65" i="58"/>
  <c r="C65" i="58"/>
  <c r="I61" i="58"/>
  <c r="G61" i="58"/>
  <c r="E61" i="58"/>
  <c r="C61" i="58"/>
  <c r="I60" i="58"/>
  <c r="G60" i="58"/>
  <c r="E60" i="58"/>
  <c r="C60" i="58"/>
  <c r="I59" i="58"/>
  <c r="G59" i="58"/>
  <c r="E59" i="58"/>
  <c r="C59" i="58"/>
  <c r="I58" i="58"/>
  <c r="G58" i="58"/>
  <c r="E58" i="58"/>
  <c r="C58" i="58"/>
  <c r="I57" i="58"/>
  <c r="G57" i="58"/>
  <c r="E57" i="58"/>
  <c r="C57" i="58"/>
  <c r="I56" i="58"/>
  <c r="G56" i="58"/>
  <c r="E56" i="58"/>
  <c r="C56" i="58"/>
  <c r="I55" i="58"/>
  <c r="G55" i="58"/>
  <c r="E55" i="58"/>
  <c r="C55" i="58"/>
  <c r="I54" i="58"/>
  <c r="G54" i="58"/>
  <c r="E54" i="58"/>
  <c r="C54" i="58"/>
  <c r="I53" i="58"/>
  <c r="G53" i="58"/>
  <c r="E53" i="58"/>
  <c r="C53" i="58"/>
  <c r="I52" i="58"/>
  <c r="G52" i="58"/>
  <c r="E52" i="58"/>
  <c r="C52" i="58"/>
  <c r="I51" i="58"/>
  <c r="G51" i="58"/>
  <c r="E51" i="58"/>
  <c r="C51" i="58"/>
  <c r="I50" i="58"/>
  <c r="G50" i="58"/>
  <c r="E50" i="58"/>
  <c r="C50" i="58"/>
  <c r="I49" i="58"/>
  <c r="G49" i="58"/>
  <c r="E49" i="58"/>
  <c r="C49" i="58"/>
  <c r="I48" i="58"/>
  <c r="G48" i="58"/>
  <c r="E48" i="58"/>
  <c r="C48" i="58"/>
  <c r="I47" i="58"/>
  <c r="G47" i="58"/>
  <c r="E47" i="58"/>
  <c r="C47" i="58"/>
  <c r="I46" i="58"/>
  <c r="G46" i="58"/>
  <c r="E46" i="58"/>
  <c r="C46" i="58"/>
  <c r="I45" i="58"/>
  <c r="G45" i="58"/>
  <c r="E45" i="58"/>
  <c r="C45" i="58"/>
  <c r="I44" i="58"/>
  <c r="G44" i="58"/>
  <c r="E44" i="58"/>
  <c r="C44" i="58"/>
  <c r="I43" i="58"/>
  <c r="G43" i="58"/>
  <c r="E43" i="58"/>
  <c r="C43" i="58"/>
  <c r="I42" i="58"/>
  <c r="G42" i="58"/>
  <c r="E42" i="58"/>
  <c r="C42" i="58"/>
  <c r="I41" i="58"/>
  <c r="G41" i="58"/>
  <c r="E41" i="58"/>
  <c r="C41" i="58"/>
  <c r="I40" i="58"/>
  <c r="G40" i="58"/>
  <c r="E40" i="58"/>
  <c r="C40" i="58"/>
  <c r="I39" i="58"/>
  <c r="G39" i="58"/>
  <c r="E39" i="58"/>
  <c r="C39" i="58"/>
  <c r="I38" i="58"/>
  <c r="G38" i="58"/>
  <c r="E38" i="58"/>
  <c r="C38" i="58"/>
  <c r="I37" i="58"/>
  <c r="G37" i="58"/>
  <c r="E37" i="58"/>
  <c r="C37" i="58"/>
  <c r="I36" i="58"/>
  <c r="G36" i="58"/>
  <c r="E36" i="58"/>
  <c r="C36" i="58"/>
  <c r="I35" i="58"/>
  <c r="G35" i="58"/>
  <c r="E35" i="58"/>
  <c r="C35" i="58"/>
  <c r="I34" i="58"/>
  <c r="G34" i="58"/>
  <c r="E34" i="58"/>
  <c r="C34" i="58"/>
  <c r="I30" i="58"/>
  <c r="G30" i="58"/>
  <c r="E30" i="58"/>
  <c r="C30" i="58"/>
  <c r="I29" i="58"/>
  <c r="G29" i="58"/>
  <c r="E29" i="58"/>
  <c r="C29" i="58"/>
  <c r="I28" i="58"/>
  <c r="G28" i="58"/>
  <c r="E28" i="58"/>
  <c r="C28" i="58"/>
  <c r="I27" i="58"/>
  <c r="G27" i="58"/>
  <c r="E27" i="58"/>
  <c r="C27" i="58"/>
  <c r="I26" i="58"/>
  <c r="G26" i="58"/>
  <c r="E26" i="58"/>
  <c r="C26" i="58"/>
  <c r="I25" i="58"/>
  <c r="G25" i="58"/>
  <c r="E25" i="58"/>
  <c r="C25" i="58"/>
  <c r="I24" i="58"/>
  <c r="G24" i="58"/>
  <c r="E24" i="58"/>
  <c r="C24" i="58"/>
  <c r="I23" i="58"/>
  <c r="G23" i="58"/>
  <c r="E23" i="58"/>
  <c r="C23" i="58"/>
  <c r="I22" i="58"/>
  <c r="G22" i="58"/>
  <c r="E22" i="58"/>
  <c r="C22" i="58"/>
  <c r="I21" i="58"/>
  <c r="G21" i="58"/>
  <c r="E21" i="58"/>
  <c r="C21" i="58"/>
  <c r="I20" i="58"/>
  <c r="G20" i="58"/>
  <c r="E20" i="58"/>
  <c r="C20" i="58"/>
  <c r="I19" i="58"/>
  <c r="G19" i="58"/>
  <c r="E19" i="58"/>
  <c r="C19" i="58"/>
  <c r="I18" i="58"/>
  <c r="G18" i="58"/>
  <c r="E18" i="58"/>
  <c r="C18" i="58"/>
  <c r="I17" i="58"/>
  <c r="G17" i="58"/>
  <c r="E17" i="58"/>
  <c r="C17" i="58"/>
  <c r="I16" i="58"/>
  <c r="G16" i="58"/>
  <c r="E16" i="58"/>
  <c r="C16" i="58"/>
  <c r="I15" i="58"/>
  <c r="G15" i="58"/>
  <c r="E15" i="58"/>
  <c r="C15" i="58"/>
  <c r="I14" i="58"/>
  <c r="G14" i="58"/>
  <c r="E14" i="58"/>
  <c r="C14" i="58"/>
  <c r="I13" i="58"/>
  <c r="G13" i="58"/>
  <c r="E13" i="58"/>
  <c r="C13" i="58"/>
  <c r="I12" i="58"/>
  <c r="G12" i="58"/>
  <c r="E12" i="58"/>
  <c r="C12" i="58"/>
  <c r="I11" i="58"/>
  <c r="G11" i="58"/>
  <c r="E11" i="58"/>
  <c r="C11" i="58"/>
  <c r="I10" i="58"/>
  <c r="G10" i="58"/>
  <c r="E10" i="58"/>
  <c r="C10" i="58"/>
  <c r="I9" i="58"/>
  <c r="G9" i="58"/>
  <c r="E9" i="58"/>
  <c r="C9" i="58"/>
  <c r="I8" i="58"/>
  <c r="G8" i="58"/>
  <c r="E8" i="58"/>
  <c r="C8" i="58"/>
  <c r="I7" i="58"/>
  <c r="G7" i="58"/>
  <c r="E7" i="58"/>
  <c r="C7" i="58"/>
  <c r="I6" i="58"/>
  <c r="G6" i="58"/>
  <c r="E6" i="58"/>
  <c r="C6" i="58"/>
  <c r="I5" i="58"/>
  <c r="G5" i="58"/>
  <c r="E5" i="58"/>
  <c r="C5" i="58"/>
  <c r="I4" i="58"/>
  <c r="G4" i="58"/>
  <c r="E4" i="58"/>
  <c r="C4" i="58"/>
  <c r="I3" i="58"/>
  <c r="G3" i="58"/>
  <c r="E3" i="58"/>
  <c r="C3" i="58"/>
  <c r="I13" i="57"/>
  <c r="I12" i="57"/>
  <c r="I11" i="57"/>
  <c r="H12" i="57"/>
  <c r="H13" i="57"/>
  <c r="H11" i="57"/>
  <c r="G13" i="57"/>
  <c r="G12" i="57"/>
  <c r="G11" i="57"/>
  <c r="U6" i="56" l="1"/>
  <c r="P6" i="56"/>
  <c r="Q6" i="56" s="1"/>
  <c r="S6" i="56" s="1"/>
  <c r="N7" i="56"/>
  <c r="N6" i="56"/>
  <c r="Q7" i="56" l="1"/>
  <c r="S7" i="56" s="1"/>
  <c r="V6" i="56"/>
  <c r="W6" i="56" s="1"/>
  <c r="U7" i="56"/>
  <c r="V7" i="56" s="1"/>
  <c r="W7" i="56" s="1"/>
  <c r="P7" i="56"/>
  <c r="N5" i="56"/>
  <c r="P5" i="56" s="1"/>
  <c r="Q5" i="56" l="1"/>
  <c r="S5" i="56" s="1"/>
  <c r="U5" i="56"/>
  <c r="I23" i="56"/>
  <c r="E38" i="56"/>
  <c r="C38" i="56"/>
  <c r="G37" i="56"/>
  <c r="E37" i="56"/>
  <c r="C37" i="56"/>
  <c r="G36" i="56"/>
  <c r="E36" i="56"/>
  <c r="C36" i="56"/>
  <c r="G35" i="56"/>
  <c r="E35" i="56"/>
  <c r="C35" i="56"/>
  <c r="G34" i="56"/>
  <c r="E34" i="56"/>
  <c r="G33" i="56"/>
  <c r="E33" i="56"/>
  <c r="C33" i="56"/>
  <c r="G32" i="56"/>
  <c r="E32" i="56"/>
  <c r="C32" i="56"/>
  <c r="G31" i="56"/>
  <c r="E31" i="56"/>
  <c r="C31" i="56"/>
  <c r="G30" i="56"/>
  <c r="E30" i="56"/>
  <c r="C30" i="56"/>
  <c r="G29" i="56"/>
  <c r="E29" i="56"/>
  <c r="C29" i="56"/>
  <c r="G28" i="56"/>
  <c r="E28" i="56"/>
  <c r="C28" i="56"/>
  <c r="G27" i="56"/>
  <c r="E27" i="56"/>
  <c r="C27" i="56"/>
  <c r="G26" i="56"/>
  <c r="E26" i="56"/>
  <c r="C26" i="56"/>
  <c r="G25" i="56"/>
  <c r="E25" i="56"/>
  <c r="C25" i="56"/>
  <c r="G24" i="56"/>
  <c r="E24" i="56"/>
  <c r="G23" i="56"/>
  <c r="G4" i="56"/>
  <c r="G13" i="56"/>
  <c r="G14" i="56"/>
  <c r="E13" i="56"/>
  <c r="E14" i="56"/>
  <c r="E4" i="56"/>
  <c r="C13" i="56"/>
  <c r="H19" i="56"/>
  <c r="G19" i="56" s="1"/>
  <c r="H17" i="56"/>
  <c r="G17" i="56" s="1"/>
  <c r="F19" i="56"/>
  <c r="E19" i="56" s="1"/>
  <c r="F18" i="56"/>
  <c r="E18" i="56" s="1"/>
  <c r="F17" i="56"/>
  <c r="E17" i="56" s="1"/>
  <c r="D19" i="56"/>
  <c r="C19" i="56" s="1"/>
  <c r="D18" i="56"/>
  <c r="C18" i="56" s="1"/>
  <c r="D17" i="56"/>
  <c r="C17" i="56" s="1"/>
  <c r="H16" i="56"/>
  <c r="G16" i="56" s="1"/>
  <c r="H15" i="56"/>
  <c r="G15" i="56" s="1"/>
  <c r="F16" i="56"/>
  <c r="E16" i="56" s="1"/>
  <c r="F15" i="56"/>
  <c r="E15" i="56" s="1"/>
  <c r="D16" i="56"/>
  <c r="C16" i="56" s="1"/>
  <c r="D15" i="56"/>
  <c r="C15" i="56" s="1"/>
  <c r="H12" i="56"/>
  <c r="G12" i="56" s="1"/>
  <c r="H11" i="56"/>
  <c r="G11" i="56" s="1"/>
  <c r="H10" i="56"/>
  <c r="G10" i="56" s="1"/>
  <c r="F12" i="56"/>
  <c r="E12" i="56" s="1"/>
  <c r="F11" i="56"/>
  <c r="E11" i="56" s="1"/>
  <c r="F10" i="56"/>
  <c r="E10" i="56" s="1"/>
  <c r="D12" i="56"/>
  <c r="C12" i="56" s="1"/>
  <c r="D11" i="56"/>
  <c r="C11" i="56" s="1"/>
  <c r="D10" i="56"/>
  <c r="C10" i="56" s="1"/>
  <c r="H9" i="56"/>
  <c r="G9" i="56" s="1"/>
  <c r="H8" i="56"/>
  <c r="G8" i="56" s="1"/>
  <c r="F9" i="56"/>
  <c r="E9" i="56" s="1"/>
  <c r="F8" i="56"/>
  <c r="E8" i="56" s="1"/>
  <c r="D9" i="56"/>
  <c r="C9" i="56" s="1"/>
  <c r="D8" i="56"/>
  <c r="C8" i="56" s="1"/>
  <c r="H7" i="56"/>
  <c r="G7" i="56" s="1"/>
  <c r="H6" i="56"/>
  <c r="G6" i="56" s="1"/>
  <c r="F7" i="56"/>
  <c r="E7" i="56" s="1"/>
  <c r="F6" i="56"/>
  <c r="E6" i="56" s="1"/>
  <c r="D7" i="56"/>
  <c r="C7" i="56" s="1"/>
  <c r="D6" i="56"/>
  <c r="C6" i="56" s="1"/>
  <c r="H5" i="56"/>
  <c r="G5" i="56" s="1"/>
  <c r="F5" i="56"/>
  <c r="E5" i="56" s="1"/>
  <c r="D5" i="56"/>
  <c r="C5" i="56" s="1"/>
  <c r="J3" i="56"/>
  <c r="I3" i="56" s="1"/>
  <c r="H3" i="56"/>
  <c r="G3" i="56" s="1"/>
  <c r="E13" i="57"/>
  <c r="E12" i="57"/>
  <c r="E11" i="57"/>
  <c r="D9" i="57"/>
  <c r="D8" i="57"/>
  <c r="D7" i="57"/>
  <c r="D6" i="57"/>
  <c r="D5" i="57"/>
  <c r="D4" i="57"/>
  <c r="D3" i="57"/>
  <c r="G39" i="56"/>
  <c r="E39" i="56"/>
  <c r="C39" i="56"/>
  <c r="I3" i="57" l="1"/>
  <c r="H3" i="57"/>
  <c r="G3" i="57"/>
  <c r="I5" i="57"/>
  <c r="H5" i="57"/>
  <c r="G5" i="57"/>
  <c r="I7" i="57"/>
  <c r="H7" i="57"/>
  <c r="G7" i="57"/>
  <c r="I9" i="57"/>
  <c r="H9" i="57"/>
  <c r="G9" i="57"/>
  <c r="E4" i="57"/>
  <c r="I4" i="57"/>
  <c r="H4" i="57"/>
  <c r="G4" i="57"/>
  <c r="E6" i="57"/>
  <c r="I6" i="57"/>
  <c r="H6" i="57"/>
  <c r="G6" i="57"/>
  <c r="E8" i="57"/>
  <c r="I8" i="57"/>
  <c r="H8" i="57"/>
  <c r="G8" i="57"/>
  <c r="V5" i="56"/>
  <c r="W5" i="56" s="1"/>
  <c r="E5" i="57"/>
  <c r="E3" i="57"/>
  <c r="E9" i="57"/>
  <c r="E7" i="57"/>
  <c r="I30" i="54" l="1"/>
  <c r="G30" i="54"/>
  <c r="E30" i="54"/>
  <c r="C30" i="54"/>
  <c r="I29" i="54"/>
  <c r="G29" i="54"/>
  <c r="E29" i="54"/>
  <c r="C29" i="54"/>
  <c r="I28" i="54"/>
  <c r="G28" i="54"/>
  <c r="E28" i="54"/>
  <c r="C28" i="54"/>
  <c r="I27" i="54"/>
  <c r="G27" i="54"/>
  <c r="E27" i="54"/>
  <c r="C27" i="54"/>
  <c r="I26" i="54"/>
  <c r="G26" i="54"/>
  <c r="E26" i="54"/>
  <c r="C26" i="54"/>
  <c r="I25" i="54"/>
  <c r="G25" i="54"/>
  <c r="E25" i="54"/>
  <c r="C25" i="54"/>
  <c r="I24" i="54"/>
  <c r="G24" i="54"/>
  <c r="E24" i="54"/>
  <c r="C24" i="54"/>
  <c r="I23" i="54"/>
  <c r="G23" i="54"/>
  <c r="E23" i="54"/>
  <c r="C23" i="54"/>
  <c r="I22" i="54"/>
  <c r="G22" i="54"/>
  <c r="E22" i="54"/>
  <c r="C22" i="54"/>
  <c r="I21" i="54"/>
  <c r="G21" i="54"/>
  <c r="E21" i="54"/>
  <c r="C21" i="54"/>
  <c r="I20" i="54"/>
  <c r="G20" i="54"/>
  <c r="E20" i="54"/>
  <c r="C20" i="54"/>
  <c r="I19" i="54"/>
  <c r="G19" i="54"/>
  <c r="E19" i="54"/>
  <c r="C19" i="54"/>
  <c r="I18" i="54"/>
  <c r="G18" i="54"/>
  <c r="E18" i="54"/>
  <c r="C18" i="54"/>
  <c r="I17" i="54"/>
  <c r="G17" i="54"/>
  <c r="E17" i="54"/>
  <c r="C17" i="54"/>
  <c r="I16" i="54"/>
  <c r="G16" i="54"/>
  <c r="E16" i="54"/>
  <c r="C16" i="54"/>
  <c r="I15" i="54"/>
  <c r="G15" i="54"/>
  <c r="E15" i="54"/>
  <c r="C15" i="54"/>
  <c r="I14" i="54"/>
  <c r="G14" i="54"/>
  <c r="E14" i="54"/>
  <c r="C14" i="54"/>
  <c r="I13" i="54"/>
  <c r="G13" i="54"/>
  <c r="E13" i="54"/>
  <c r="C13" i="54"/>
  <c r="I12" i="54"/>
  <c r="G12" i="54"/>
  <c r="E12" i="54"/>
  <c r="C12" i="54"/>
  <c r="I11" i="54"/>
  <c r="G11" i="54"/>
  <c r="E11" i="54"/>
  <c r="C11" i="54"/>
  <c r="I10" i="54"/>
  <c r="G10" i="54"/>
  <c r="E10" i="54"/>
  <c r="C10" i="54"/>
  <c r="I9" i="54"/>
  <c r="G9" i="54"/>
  <c r="E9" i="54"/>
  <c r="C9" i="54"/>
  <c r="I8" i="54"/>
  <c r="G8" i="54"/>
  <c r="E8" i="54"/>
  <c r="C8" i="54"/>
  <c r="I7" i="54"/>
  <c r="G7" i="54"/>
  <c r="E7" i="54"/>
  <c r="C7" i="54"/>
  <c r="I6" i="54"/>
  <c r="G6" i="54"/>
  <c r="E6" i="54"/>
  <c r="C6" i="54"/>
  <c r="I5" i="54"/>
  <c r="G5" i="54"/>
  <c r="E5" i="54"/>
  <c r="C5" i="54"/>
  <c r="I4" i="54"/>
  <c r="G4" i="54"/>
  <c r="E4" i="54"/>
  <c r="C4" i="54"/>
  <c r="I3" i="54"/>
  <c r="G3" i="54"/>
  <c r="E3" i="54"/>
  <c r="C3" i="54"/>
  <c r="I61" i="54"/>
  <c r="G61" i="54"/>
  <c r="E61" i="54"/>
  <c r="C61" i="54"/>
  <c r="I60" i="54"/>
  <c r="G60" i="54"/>
  <c r="E60" i="54"/>
  <c r="C60" i="54"/>
  <c r="I59" i="54"/>
  <c r="G59" i="54"/>
  <c r="E59" i="54"/>
  <c r="C59" i="54"/>
  <c r="I58" i="54"/>
  <c r="G58" i="54"/>
  <c r="E58" i="54"/>
  <c r="C58" i="54"/>
  <c r="I57" i="54"/>
  <c r="G57" i="54"/>
  <c r="E57" i="54"/>
  <c r="C57" i="54"/>
  <c r="I56" i="54"/>
  <c r="G56" i="54"/>
  <c r="E56" i="54"/>
  <c r="C56" i="54"/>
  <c r="I55" i="54"/>
  <c r="G55" i="54"/>
  <c r="E55" i="54"/>
  <c r="C55" i="54"/>
  <c r="I54" i="54"/>
  <c r="G54" i="54"/>
  <c r="E54" i="54"/>
  <c r="C54" i="54"/>
  <c r="I53" i="54"/>
  <c r="G53" i="54"/>
  <c r="E53" i="54"/>
  <c r="C53" i="54"/>
  <c r="I52" i="54"/>
  <c r="G52" i="54"/>
  <c r="E52" i="54"/>
  <c r="C52" i="54"/>
  <c r="I51" i="54"/>
  <c r="G51" i="54"/>
  <c r="E51" i="54"/>
  <c r="C51" i="54"/>
  <c r="I50" i="54"/>
  <c r="G50" i="54"/>
  <c r="E50" i="54"/>
  <c r="C50" i="54"/>
  <c r="I49" i="54"/>
  <c r="G49" i="54"/>
  <c r="E49" i="54"/>
  <c r="C49" i="54"/>
  <c r="I48" i="54"/>
  <c r="G48" i="54"/>
  <c r="E48" i="54"/>
  <c r="C48" i="54"/>
  <c r="I47" i="54"/>
  <c r="G47" i="54"/>
  <c r="E47" i="54"/>
  <c r="C47" i="54"/>
  <c r="I46" i="54"/>
  <c r="G46" i="54"/>
  <c r="E46" i="54"/>
  <c r="C46" i="54"/>
  <c r="I45" i="54"/>
  <c r="G45" i="54"/>
  <c r="E45" i="54"/>
  <c r="C45" i="54"/>
  <c r="I44" i="54"/>
  <c r="G44" i="54"/>
  <c r="E44" i="54"/>
  <c r="C44" i="54"/>
  <c r="I43" i="54"/>
  <c r="G43" i="54"/>
  <c r="E43" i="54"/>
  <c r="C43" i="54"/>
  <c r="I42" i="54"/>
  <c r="G42" i="54"/>
  <c r="E42" i="54"/>
  <c r="C42" i="54"/>
  <c r="I41" i="54"/>
  <c r="G41" i="54"/>
  <c r="E41" i="54"/>
  <c r="C41" i="54"/>
  <c r="I40" i="54"/>
  <c r="G40" i="54"/>
  <c r="E40" i="54"/>
  <c r="C40" i="54"/>
  <c r="I39" i="54"/>
  <c r="G39" i="54"/>
  <c r="E39" i="54"/>
  <c r="C39" i="54"/>
  <c r="I38" i="54"/>
  <c r="G38" i="54"/>
  <c r="E38" i="54"/>
  <c r="C38" i="54"/>
  <c r="I37" i="54"/>
  <c r="G37" i="54"/>
  <c r="E37" i="54"/>
  <c r="C37" i="54"/>
  <c r="I36" i="54"/>
  <c r="G36" i="54"/>
  <c r="E36" i="54"/>
  <c r="C36" i="54"/>
  <c r="I35" i="54"/>
  <c r="G35" i="54"/>
  <c r="E35" i="54"/>
  <c r="C35" i="54"/>
  <c r="I34" i="54"/>
  <c r="G34" i="54"/>
  <c r="E34" i="54"/>
  <c r="C34" i="54"/>
  <c r="D42" i="42" l="1"/>
  <c r="C42" i="42" s="1"/>
  <c r="D41" i="42"/>
  <c r="C41" i="42" s="1"/>
  <c r="D40" i="42"/>
  <c r="C40" i="42" s="1"/>
  <c r="D6" i="42"/>
  <c r="D5" i="42"/>
  <c r="D4" i="42"/>
  <c r="E71" i="42"/>
  <c r="C71" i="42"/>
  <c r="E70" i="42"/>
  <c r="C70" i="42"/>
  <c r="E69" i="42"/>
  <c r="C69" i="42"/>
  <c r="E68" i="42"/>
  <c r="C68" i="42"/>
  <c r="E67" i="42"/>
  <c r="C67" i="42"/>
  <c r="E66" i="42"/>
  <c r="C66" i="42"/>
  <c r="E65" i="42"/>
  <c r="C65" i="42"/>
  <c r="F64" i="42"/>
  <c r="E64" i="42" s="1"/>
  <c r="D64" i="42"/>
  <c r="C64" i="42" s="1"/>
  <c r="F63" i="42"/>
  <c r="E63" i="42" s="1"/>
  <c r="D63" i="42"/>
  <c r="C63" i="42" s="1"/>
  <c r="F62" i="42"/>
  <c r="E62" i="42" s="1"/>
  <c r="D62" i="42"/>
  <c r="C62" i="42" s="1"/>
  <c r="F61" i="42"/>
  <c r="E61" i="42" s="1"/>
  <c r="D61" i="42"/>
  <c r="C61" i="42" s="1"/>
  <c r="F60" i="42"/>
  <c r="E60" i="42" s="1"/>
  <c r="D60" i="42"/>
  <c r="C60" i="42" s="1"/>
  <c r="F59" i="42"/>
  <c r="E59" i="42" s="1"/>
  <c r="D59" i="42"/>
  <c r="C59" i="42" s="1"/>
  <c r="F58" i="42"/>
  <c r="E58" i="42" s="1"/>
  <c r="D58" i="42"/>
  <c r="C58" i="42" s="1"/>
  <c r="E57" i="42"/>
  <c r="C57" i="42"/>
  <c r="E56" i="42"/>
  <c r="C56" i="42"/>
  <c r="E55" i="42"/>
  <c r="C55" i="42"/>
  <c r="E54" i="42"/>
  <c r="C54" i="42"/>
  <c r="E53" i="42"/>
  <c r="C53" i="42"/>
  <c r="E52" i="42"/>
  <c r="C52" i="42"/>
  <c r="E51" i="42"/>
  <c r="C51" i="42"/>
  <c r="E50" i="42"/>
  <c r="C50" i="42"/>
  <c r="E49" i="42"/>
  <c r="C49" i="42"/>
  <c r="E48" i="42"/>
  <c r="C48" i="42"/>
  <c r="E47" i="42"/>
  <c r="C47" i="42"/>
  <c r="E46" i="42"/>
  <c r="C46" i="42"/>
  <c r="E45" i="42"/>
  <c r="C45" i="42"/>
  <c r="E44" i="42"/>
  <c r="C44" i="42"/>
  <c r="E43" i="42"/>
  <c r="C43" i="42"/>
  <c r="F35" i="42"/>
  <c r="D35" i="42"/>
  <c r="F34" i="42"/>
  <c r="D34" i="42"/>
  <c r="F33" i="42"/>
  <c r="D33" i="42"/>
  <c r="F32" i="42"/>
  <c r="D32" i="42"/>
  <c r="F31" i="42"/>
  <c r="D31" i="42"/>
  <c r="F30" i="42"/>
  <c r="D30" i="42"/>
  <c r="F29" i="42"/>
  <c r="D29" i="42"/>
  <c r="E28" i="42"/>
  <c r="F28" i="42" s="1"/>
  <c r="C28" i="42"/>
  <c r="D28" i="42" s="1"/>
  <c r="E27" i="42"/>
  <c r="F27" i="42" s="1"/>
  <c r="C27" i="42"/>
  <c r="D27" i="42" s="1"/>
  <c r="E26" i="42"/>
  <c r="F26" i="42" s="1"/>
  <c r="C26" i="42"/>
  <c r="D26" i="42" s="1"/>
  <c r="E25" i="42"/>
  <c r="F25" i="42" s="1"/>
  <c r="C25" i="42"/>
  <c r="D25" i="42" s="1"/>
  <c r="E24" i="42"/>
  <c r="F24" i="42" s="1"/>
  <c r="C24" i="42"/>
  <c r="D24" i="42" s="1"/>
  <c r="E23" i="42"/>
  <c r="F23" i="42" s="1"/>
  <c r="C23" i="42"/>
  <c r="D23" i="42" s="1"/>
  <c r="E22" i="42"/>
  <c r="F22" i="42" s="1"/>
  <c r="C22" i="42"/>
  <c r="D22" i="42" s="1"/>
  <c r="F21" i="42"/>
  <c r="D21" i="42"/>
  <c r="F20" i="42"/>
  <c r="D20" i="42"/>
  <c r="F19" i="42"/>
  <c r="D19" i="42"/>
  <c r="F18" i="42"/>
  <c r="D18" i="42"/>
  <c r="F17" i="42"/>
  <c r="D17" i="42"/>
  <c r="F16" i="42"/>
  <c r="D16" i="42"/>
  <c r="F15" i="42"/>
  <c r="D15" i="42"/>
  <c r="F14" i="42"/>
  <c r="D14" i="42"/>
  <c r="F13" i="42"/>
  <c r="D13" i="42"/>
  <c r="F12" i="42"/>
  <c r="D12" i="42"/>
  <c r="F11" i="42"/>
  <c r="D11" i="42"/>
  <c r="F10" i="42"/>
  <c r="D10" i="42"/>
  <c r="F9" i="42"/>
  <c r="D9" i="42"/>
  <c r="F8" i="42"/>
  <c r="D8" i="42"/>
  <c r="F7" i="42"/>
  <c r="D7" i="42"/>
  <c r="D3" i="42"/>
  <c r="D39" i="42" s="1"/>
  <c r="C39" i="42" s="1"/>
  <c r="H39" i="35"/>
  <c r="G39" i="35" s="1"/>
  <c r="F39" i="35"/>
  <c r="E39" i="35" s="1"/>
  <c r="D39" i="35"/>
  <c r="C39" i="35" s="1"/>
  <c r="F38" i="35"/>
  <c r="E38" i="35" s="1"/>
  <c r="D38" i="35"/>
  <c r="C38" i="35" s="1"/>
  <c r="G37" i="35"/>
  <c r="F37" i="35"/>
  <c r="E37" i="35"/>
  <c r="D37" i="35"/>
  <c r="C37" i="35"/>
  <c r="G36" i="35"/>
  <c r="F36" i="35"/>
  <c r="E36" i="35" s="1"/>
  <c r="D36" i="35"/>
  <c r="C36" i="35" s="1"/>
  <c r="G35" i="35"/>
  <c r="F35" i="35"/>
  <c r="E35" i="35"/>
  <c r="D35" i="35"/>
  <c r="C35" i="35"/>
  <c r="H34" i="35"/>
  <c r="G34" i="35"/>
  <c r="F34" i="35"/>
  <c r="E34" i="35" s="1"/>
  <c r="G33" i="35"/>
  <c r="F33" i="35"/>
  <c r="E33" i="35" s="1"/>
  <c r="D33" i="35"/>
  <c r="C33" i="35" s="1"/>
  <c r="G32" i="35"/>
  <c r="E32" i="35"/>
  <c r="C32" i="35"/>
  <c r="G31" i="35"/>
  <c r="E31" i="35"/>
  <c r="C31" i="35"/>
  <c r="G30" i="35"/>
  <c r="E30" i="35"/>
  <c r="C30" i="35"/>
  <c r="G29" i="35"/>
  <c r="E29" i="35"/>
  <c r="C29" i="35"/>
  <c r="G28" i="35"/>
  <c r="E28" i="35"/>
  <c r="C28" i="35"/>
  <c r="G27" i="35"/>
  <c r="E27" i="35"/>
  <c r="C27" i="35"/>
  <c r="G26" i="35"/>
  <c r="E26" i="35"/>
  <c r="C26" i="35"/>
  <c r="G25" i="35"/>
  <c r="E25" i="35"/>
  <c r="C25" i="35"/>
  <c r="G24" i="35"/>
  <c r="E24" i="35"/>
  <c r="I23" i="35"/>
  <c r="G23" i="35"/>
  <c r="G19" i="35"/>
  <c r="H19" i="35" s="1"/>
  <c r="E19" i="35"/>
  <c r="F19" i="35" s="1"/>
  <c r="C19" i="35"/>
  <c r="D19" i="35" s="1"/>
  <c r="F18" i="35"/>
  <c r="C18" i="35"/>
  <c r="D18" i="35" s="1"/>
  <c r="H17" i="35"/>
  <c r="E17" i="35"/>
  <c r="F17" i="35" s="1"/>
  <c r="H16" i="35"/>
  <c r="E16" i="35"/>
  <c r="F16" i="35" s="1"/>
  <c r="C16" i="35"/>
  <c r="D16" i="35" s="1"/>
  <c r="H15" i="35"/>
  <c r="E15" i="35"/>
  <c r="F15" i="35" s="1"/>
  <c r="H14" i="35"/>
  <c r="E14" i="35"/>
  <c r="F14" i="35" s="1"/>
  <c r="H13" i="35"/>
  <c r="E13" i="35"/>
  <c r="F13" i="35" s="1"/>
  <c r="H12" i="35"/>
  <c r="F12" i="35"/>
  <c r="D12" i="35"/>
  <c r="H11" i="35"/>
  <c r="F11" i="35"/>
  <c r="D11" i="35"/>
  <c r="H10" i="35"/>
  <c r="F10" i="35"/>
  <c r="D10" i="35"/>
  <c r="H9" i="35"/>
  <c r="F9" i="35"/>
  <c r="D9" i="35"/>
  <c r="H8" i="35"/>
  <c r="F8" i="35"/>
  <c r="D8" i="35"/>
  <c r="H7" i="35"/>
  <c r="F7" i="35"/>
  <c r="D7" i="35"/>
  <c r="H6" i="35"/>
  <c r="F6" i="35"/>
  <c r="D6" i="35"/>
  <c r="H5" i="35"/>
  <c r="F5" i="35"/>
  <c r="D5" i="35"/>
  <c r="H4" i="35"/>
  <c r="F4" i="35"/>
  <c r="J3" i="35"/>
  <c r="H3" i="35"/>
  <c r="I61" i="36"/>
  <c r="G61" i="36"/>
  <c r="E61" i="36"/>
  <c r="C61" i="36"/>
  <c r="I60" i="36"/>
  <c r="G60" i="36"/>
  <c r="E60" i="36"/>
  <c r="C60" i="36"/>
  <c r="I59" i="36"/>
  <c r="G59" i="36"/>
  <c r="E59" i="36"/>
  <c r="C59" i="36"/>
  <c r="I58" i="36"/>
  <c r="G58" i="36"/>
  <c r="E58" i="36"/>
  <c r="C58" i="36"/>
  <c r="I57" i="36"/>
  <c r="G57" i="36"/>
  <c r="E57" i="36"/>
  <c r="C57" i="36"/>
  <c r="I56" i="36"/>
  <c r="G56" i="36"/>
  <c r="E56" i="36"/>
  <c r="C56" i="36"/>
  <c r="I55" i="36"/>
  <c r="G55" i="36"/>
  <c r="E55" i="36"/>
  <c r="C55" i="36"/>
  <c r="I54" i="36"/>
  <c r="G54" i="36"/>
  <c r="E54" i="36"/>
  <c r="C54" i="36"/>
  <c r="I53" i="36"/>
  <c r="G53" i="36"/>
  <c r="E53" i="36"/>
  <c r="C53" i="36"/>
  <c r="I52" i="36"/>
  <c r="G52" i="36"/>
  <c r="E52" i="36"/>
  <c r="C52" i="36"/>
  <c r="I51" i="36"/>
  <c r="G51" i="36"/>
  <c r="E51" i="36"/>
  <c r="C51" i="36"/>
  <c r="I50" i="36"/>
  <c r="G50" i="36"/>
  <c r="E50" i="36"/>
  <c r="C50" i="36"/>
  <c r="I49" i="36"/>
  <c r="G49" i="36"/>
  <c r="E49" i="36"/>
  <c r="C49" i="36"/>
  <c r="I48" i="36"/>
  <c r="G48" i="36"/>
  <c r="E48" i="36"/>
  <c r="C48" i="36"/>
  <c r="I47" i="36"/>
  <c r="G47" i="36"/>
  <c r="E47" i="36"/>
  <c r="C47" i="36"/>
  <c r="I46" i="36"/>
  <c r="G46" i="36"/>
  <c r="E46" i="36"/>
  <c r="C46" i="36"/>
  <c r="I45" i="36"/>
  <c r="G45" i="36"/>
  <c r="E45" i="36"/>
  <c r="C45" i="36"/>
  <c r="I44" i="36"/>
  <c r="G44" i="36"/>
  <c r="E44" i="36"/>
  <c r="C44" i="36"/>
  <c r="I43" i="36"/>
  <c r="G43" i="36"/>
  <c r="E43" i="36"/>
  <c r="C43" i="36"/>
  <c r="I42" i="36"/>
  <c r="G42" i="36"/>
  <c r="E42" i="36"/>
  <c r="C42" i="36"/>
  <c r="I41" i="36"/>
  <c r="G41" i="36"/>
  <c r="E41" i="36"/>
  <c r="C41" i="36"/>
  <c r="I40" i="36"/>
  <c r="G40" i="36"/>
  <c r="E40" i="36"/>
  <c r="C40" i="36"/>
  <c r="I39" i="36"/>
  <c r="G39" i="36"/>
  <c r="E39" i="36"/>
  <c r="C39" i="36"/>
  <c r="I38" i="36"/>
  <c r="G38" i="36"/>
  <c r="E38" i="36"/>
  <c r="C38" i="36"/>
  <c r="I37" i="36"/>
  <c r="G37" i="36"/>
  <c r="E37" i="36"/>
  <c r="C37" i="36"/>
  <c r="I36" i="36"/>
  <c r="G36" i="36"/>
  <c r="E36" i="36"/>
  <c r="C36" i="36"/>
  <c r="I35" i="36"/>
  <c r="G35" i="36"/>
  <c r="E35" i="36"/>
  <c r="C35" i="36"/>
  <c r="I34" i="36"/>
  <c r="G34" i="36"/>
  <c r="E34" i="36"/>
  <c r="C34" i="36"/>
  <c r="J30" i="36"/>
  <c r="H30" i="36"/>
  <c r="F30" i="36"/>
  <c r="D30" i="36"/>
  <c r="J29" i="36"/>
  <c r="H29" i="36"/>
  <c r="F29" i="36"/>
  <c r="D29" i="36"/>
  <c r="J28" i="36"/>
  <c r="H28" i="36"/>
  <c r="F28" i="36"/>
  <c r="D28" i="36"/>
  <c r="J27" i="36"/>
  <c r="H27" i="36"/>
  <c r="F27" i="36"/>
  <c r="D27" i="36"/>
  <c r="J26" i="36"/>
  <c r="H26" i="36"/>
  <c r="F26" i="36"/>
  <c r="D26" i="36"/>
  <c r="J25" i="36"/>
  <c r="H25" i="36"/>
  <c r="F25" i="36"/>
  <c r="D25" i="36"/>
  <c r="J24" i="36"/>
  <c r="H24" i="36"/>
  <c r="F24" i="36"/>
  <c r="D24" i="36"/>
  <c r="J23" i="36"/>
  <c r="H23" i="36"/>
  <c r="F23" i="36"/>
  <c r="D23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19" i="36"/>
  <c r="H19" i="36"/>
  <c r="F19" i="36"/>
  <c r="D19" i="36"/>
  <c r="J18" i="36"/>
  <c r="H18" i="36"/>
  <c r="F18" i="36"/>
  <c r="D18" i="36"/>
  <c r="J17" i="36"/>
  <c r="H17" i="36"/>
  <c r="F17" i="36"/>
  <c r="D17" i="36"/>
  <c r="J16" i="36"/>
  <c r="H16" i="36"/>
  <c r="F16" i="36"/>
  <c r="D16" i="36"/>
  <c r="J15" i="36"/>
  <c r="H15" i="36"/>
  <c r="F15" i="36"/>
  <c r="D15" i="36"/>
  <c r="J14" i="36"/>
  <c r="H14" i="36"/>
  <c r="F14" i="36"/>
  <c r="D14" i="36"/>
  <c r="J13" i="36"/>
  <c r="H13" i="36"/>
  <c r="F13" i="36"/>
  <c r="D13" i="36"/>
  <c r="J12" i="36"/>
  <c r="H12" i="36"/>
  <c r="F12" i="36"/>
  <c r="D12" i="36"/>
  <c r="J11" i="36"/>
  <c r="H11" i="36"/>
  <c r="F11" i="36"/>
  <c r="D11" i="36"/>
  <c r="J10" i="36"/>
  <c r="H10" i="36"/>
  <c r="F10" i="36"/>
  <c r="D10" i="36"/>
  <c r="J9" i="36"/>
  <c r="H9" i="36"/>
  <c r="F9" i="36"/>
  <c r="D9" i="36"/>
  <c r="J8" i="36"/>
  <c r="H8" i="36"/>
  <c r="F8" i="36"/>
  <c r="D8" i="36"/>
  <c r="J7" i="36"/>
  <c r="H7" i="36"/>
  <c r="F7" i="36"/>
  <c r="D7" i="36"/>
  <c r="J6" i="36"/>
  <c r="H6" i="36"/>
  <c r="F6" i="36"/>
  <c r="D6" i="36"/>
  <c r="J5" i="36"/>
  <c r="H5" i="36"/>
  <c r="F5" i="36"/>
  <c r="D5" i="36"/>
  <c r="J4" i="36"/>
  <c r="H4" i="36"/>
  <c r="F4" i="36"/>
  <c r="D4" i="36"/>
  <c r="J3" i="36"/>
  <c r="H3" i="36"/>
  <c r="F3" i="36"/>
  <c r="D3" i="36"/>
  <c r="C13" i="35" l="1"/>
  <c r="D13" i="35" s="1"/>
  <c r="C15" i="35"/>
  <c r="D15" i="35" s="1"/>
  <c r="C17" i="35"/>
  <c r="D17" i="35" s="1"/>
</calcChain>
</file>

<file path=xl/sharedStrings.xml><?xml version="1.0" encoding="utf-8"?>
<sst xmlns="http://schemas.openxmlformats.org/spreadsheetml/2006/main" count="1594" uniqueCount="136">
  <si>
    <t>Адрес</t>
  </si>
  <si>
    <t>Площадь (кв.м.)</t>
  </si>
  <si>
    <t>Земельный участок (кв.м.)</t>
  </si>
  <si>
    <t>Ремонт</t>
  </si>
  <si>
    <r>
      <rPr>
        <sz val="12"/>
        <color rgb="FF000000"/>
        <rFont val="Calibri"/>
        <family val="2"/>
        <charset val="204"/>
        <scheme val="minor"/>
      </rP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25,26,27,28,29; Рубиновый Проезд 30,31,32,39,40,41 </t>
    </r>
  </si>
  <si>
    <t>74,2 кв.м.</t>
  </si>
  <si>
    <t>200 – 250 кв.м.</t>
  </si>
  <si>
    <t>Отложенный ремонт</t>
  </si>
  <si>
    <t xml:space="preserve">Рубиновый Проезд 30,31,39,40,41 </t>
  </si>
  <si>
    <t>136 кв.м.</t>
  </si>
  <si>
    <t>200 – 300 кв.м.</t>
  </si>
  <si>
    <t>301 – 500 кв.м.</t>
  </si>
  <si>
    <t xml:space="preserve">Платиновый проезд 25,26,27,28,29; </t>
  </si>
  <si>
    <t>Без ремонта</t>
  </si>
  <si>
    <t xml:space="preserve">Платиновый проезд 25,26,27, 28,29; </t>
  </si>
  <si>
    <t>Рубиновый Проезд 32</t>
  </si>
  <si>
    <t>Рубиновый Проезд 39, таун 7</t>
  </si>
  <si>
    <t>ДИЗАЙН</t>
  </si>
  <si>
    <t>Рубиновый Проезд 39, таун 8</t>
  </si>
  <si>
    <t>Рубиновый Проезд 39, таун 9</t>
  </si>
  <si>
    <r>
      <rPr>
        <b/>
        <sz val="11"/>
        <color theme="1"/>
        <rFont val="Calibri"/>
        <family val="2"/>
        <charset val="204"/>
        <scheme val="minor"/>
      </rPr>
      <t>Скидка за Наличные и по Базовой ипотеки -</t>
    </r>
    <r>
      <rPr>
        <b/>
        <sz val="11"/>
        <color rgb="FFFF0000"/>
        <rFont val="Calibri"/>
        <family val="2"/>
        <charset val="204"/>
        <scheme val="minor"/>
      </rPr>
      <t xml:space="preserve"> 5%</t>
    </r>
  </si>
  <si>
    <t>Объект</t>
  </si>
  <si>
    <t>Пл. кв.м.</t>
  </si>
  <si>
    <t>Цена кв.м. 2 этаж</t>
  </si>
  <si>
    <t>Стоимость руб.</t>
  </si>
  <si>
    <t>Цена кв.м. 3-6 этаж</t>
  </si>
  <si>
    <t>Цена кв.м. 7-17 этаж</t>
  </si>
  <si>
    <t>Цена кв.м. 18 этаж</t>
  </si>
  <si>
    <t>Ремонт в том числе</t>
  </si>
  <si>
    <t>ул. Новочеркасская, 49 (дом 14) 1 секция 1к</t>
  </si>
  <si>
    <t>Готовый ремонт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</si>
  <si>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</si>
  <si>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</si>
  <si>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</si>
  <si>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</si>
  <si>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49 (дом 14) 3 секция студия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</si>
  <si>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</si>
  <si>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</si>
  <si>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</si>
  <si>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ул. Новочеркасская, 48 (дом 15) 4 секция студия</t>
  </si>
  <si>
    <t>Дорогой ремонт + кухня</t>
  </si>
  <si>
    <t>ул. Новочеркасская, 48 (дом 15) 4 секция 1к</t>
  </si>
  <si>
    <t>ул. Новочеркасская, 48 (дом 15) 4 секция 2к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</si>
  <si>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</si>
  <si>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</si>
  <si>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</si>
  <si>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Новочеркасская, 48 (дом 15) 2 секция студия</t>
  </si>
  <si>
    <t>ул. Новочеркасская, 48 (дом 15) 2 секция 1к</t>
  </si>
  <si>
    <t>Стандартный ремонт + кухня</t>
  </si>
  <si>
    <t>ул. Новочеркасская, 48 (дом 15) 2 секция 2к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</si>
  <si>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</si>
  <si>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</si>
  <si>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</si>
  <si>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>ул. Новочеркасская, 53 (дом 19) 1,2 секция 1к</t>
  </si>
  <si>
    <t>Площадь кв.м.</t>
  </si>
  <si>
    <t>Цена кв.м.  (высокий)             7-15 этаж</t>
  </si>
  <si>
    <t>Цена кв.м. 16 этаж</t>
  </si>
  <si>
    <t>ул. Левитана, д.2, 2к, 6 секция</t>
  </si>
  <si>
    <t>Готовый</t>
  </si>
  <si>
    <t>ул. Левитана, д.6, студия , 1 секция</t>
  </si>
  <si>
    <t>Отложенный</t>
  </si>
  <si>
    <t>ул. Левитана, д.6, 1к, 1 секция</t>
  </si>
  <si>
    <t>ул. Левитана, д.6, 2к, 1 секция</t>
  </si>
  <si>
    <t>ул. Левитана, д.6, 3к, 1 секция</t>
  </si>
  <si>
    <t>ул. Левитана, д.6, 1к, 2 секция</t>
  </si>
  <si>
    <t>ул. Левитана, д.6, 2к, 2 секция</t>
  </si>
  <si>
    <t>ул. Левитана, д.6, 3к, 2 секция</t>
  </si>
  <si>
    <t>ул. Левитана, д.6, студия, 3 секция</t>
  </si>
  <si>
    <t>ул. Левитана, д.6, 1к, 3 секция</t>
  </si>
  <si>
    <t>ул. Левитана, д.6, 2к, 3 секция</t>
  </si>
  <si>
    <t>ул. Левитана, д.6, 3к, 4 секция</t>
  </si>
  <si>
    <t>ул. Левитана, д.6, 3к, 5 секция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</si>
  <si>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</si>
  <si>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</si>
  <si>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</si>
  <si>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</si>
  <si>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</si>
  <si>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7 МД Студия</t>
  </si>
  <si>
    <t>22 МД 1к</t>
  </si>
  <si>
    <t>22 МД 2к</t>
  </si>
  <si>
    <t>23 МД Студия</t>
  </si>
  <si>
    <t xml:space="preserve">23 МД 1к </t>
  </si>
  <si>
    <t>23 МД 1к</t>
  </si>
  <si>
    <t>23 МД 2к</t>
  </si>
  <si>
    <t>24 МД Студия</t>
  </si>
  <si>
    <t xml:space="preserve">24 МД 1к </t>
  </si>
  <si>
    <t>24 МД 2к</t>
  </si>
  <si>
    <t>25 МД Студия</t>
  </si>
  <si>
    <t xml:space="preserve">25 МД 1к </t>
  </si>
  <si>
    <t>25 МД 2к</t>
  </si>
  <si>
    <t>7 МД 2к</t>
  </si>
  <si>
    <t>12 МД 1к</t>
  </si>
  <si>
    <t>минус 200 000</t>
  </si>
  <si>
    <t>минус 300 000</t>
  </si>
  <si>
    <t>минус 400 000</t>
  </si>
  <si>
    <t>Минус 250 000</t>
  </si>
  <si>
    <t>Снижение</t>
  </si>
  <si>
    <r>
      <t xml:space="preserve">Базовый Прейскурант - сделки по семейной ипотеки, руб. </t>
    </r>
    <r>
      <rPr>
        <b/>
        <sz val="11"/>
        <color rgb="FFFF0000"/>
        <rFont val="Calibri"/>
        <family val="2"/>
        <charset val="204"/>
        <scheme val="minor"/>
      </rPr>
      <t>до 31.03.2025</t>
    </r>
  </si>
  <si>
    <t>Минус 400 000</t>
  </si>
  <si>
    <t>Минус 200 000</t>
  </si>
  <si>
    <t>Минус 300 000</t>
  </si>
  <si>
    <t>Цена квартиры</t>
  </si>
  <si>
    <t>ПВ руб.</t>
  </si>
  <si>
    <t>Тело кредита</t>
  </si>
  <si>
    <t>ПВ %</t>
  </si>
  <si>
    <t>Комиссия банку руб.</t>
  </si>
  <si>
    <t>Разница</t>
  </si>
  <si>
    <t>Стоимость после выплаты</t>
  </si>
  <si>
    <t>Комиссия банку %</t>
  </si>
  <si>
    <t>Удорожание руб.</t>
  </si>
  <si>
    <t>Удорожание %</t>
  </si>
  <si>
    <r>
      <t xml:space="preserve">Семейная Ипотека </t>
    </r>
    <r>
      <rPr>
        <b/>
        <sz val="11"/>
        <color rgb="FF00B050"/>
        <rFont val="Calibri"/>
        <family val="2"/>
        <charset val="204"/>
        <scheme val="minor"/>
      </rPr>
      <t xml:space="preserve">СБЕРБАНК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13,5%</t>
    </r>
  </si>
  <si>
    <r>
      <t xml:space="preserve">Семейная Ипотека </t>
    </r>
    <r>
      <rPr>
        <b/>
        <sz val="11"/>
        <color rgb="FF00B050"/>
        <rFont val="Calibri"/>
        <family val="2"/>
        <charset val="204"/>
        <scheme val="minor"/>
      </rPr>
      <t xml:space="preserve">СБЕРБАНК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11,5%</t>
    </r>
  </si>
  <si>
    <r>
      <t xml:space="preserve">Семейная Ипотека </t>
    </r>
    <r>
      <rPr>
        <b/>
        <sz val="11"/>
        <color rgb="FF00B050"/>
        <rFont val="Calibri"/>
        <family val="2"/>
        <charset val="204"/>
        <scheme val="minor"/>
      </rPr>
      <t xml:space="preserve">СБЕРБАНК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8%</t>
    </r>
  </si>
  <si>
    <t>Для Сбербанка</t>
  </si>
  <si>
    <t>Для ДОМ.РФ</t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</si>
  <si>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11.02.2025г</t>
    </r>
    <r>
      <rPr>
        <b/>
        <sz val="14"/>
        <rFont val="Calibri"/>
        <family val="2"/>
        <charset val="204"/>
        <scheme val="minor"/>
      </rPr>
      <t>., вознаграждение АН 2,5%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</si>
  <si>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субсидирование, удорожание 13,5%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</si>
  <si>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11,5%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</si>
  <si>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8%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</si>
  <si>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</si>
  <si>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rPr>
        <b/>
        <sz val="14"/>
        <color rgb="FFFF0000"/>
        <rFont val="Calibri"/>
        <family val="2"/>
        <charset val="204"/>
        <scheme val="minor"/>
      </rPr>
      <t xml:space="preserve">АКЦИЯ ДО 31.03.2025г. </t>
    </r>
    <r>
      <rPr>
        <b/>
        <sz val="14"/>
        <rFont val="Calibri"/>
        <family val="2"/>
        <charset val="204"/>
        <scheme val="minor"/>
      </rP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</si>
  <si>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Семейная ипотека ДОМ.РФ с субсидированием - Удорожание на 7%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</si>
  <si>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</si>
  <si>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</si>
  <si>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Семейная ипотека ДОМ.РФ с субсидированием - Удорожание на 7%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</si>
  <si>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13,5%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</si>
  <si>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11,5%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</si>
  <si>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СБЕРБАНК семейная ипотека с субсидированием, удорожание 8%</t>
    </r>
  </si>
  <si>
    <r>
      <t xml:space="preserve">Семейная Ипотека ДОМ.РФ 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7%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</si>
  <si>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</si>
  <si>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</si>
  <si>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ДОМ.РФ с субсидированием - Удорожание на 7%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</si>
  <si>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</si>
  <si>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11.02.2025г.</t>
    </r>
    <r>
      <rPr>
        <b/>
        <sz val="14"/>
        <rFont val="Calibri"/>
        <family val="2"/>
        <charset val="204"/>
        <scheme val="minor"/>
      </rPr>
      <t xml:space="preserve">,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</si>
  <si>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11.02.2025г.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Семейная ипотека ДОМ.РФ с субсидированием - Удорожание на 7%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</si>
</sst>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0.0%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2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42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0" borderId="0" xfId="0" applyNumberFormat="1" applyFont="1"/>
    <xf numFmtId="164" fontId="0" fillId="0" borderId="0" xfId="0" applyNumberFormat="1"/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7" fillId="2" borderId="21" xfId="0" applyFont="1" applyFill="1" applyBorder="1"/>
    <xf numFmtId="0" fontId="7" fillId="0" borderId="22" xfId="0" applyFont="1" applyBorder="1" applyAlignment="1">
      <alignment horizontal="center"/>
    </xf>
    <xf numFmtId="0" fontId="7" fillId="2" borderId="12" xfId="0" applyFont="1" applyFill="1" applyBorder="1"/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2" borderId="8" xfId="0" applyFont="1" applyFill="1" applyBorder="1"/>
    <xf numFmtId="0" fontId="7" fillId="0" borderId="9" xfId="0" applyFont="1" applyBorder="1" applyAlignment="1">
      <alignment horizontal="center"/>
    </xf>
    <xf numFmtId="0" fontId="7" fillId="2" borderId="1" xfId="0" applyFont="1" applyFill="1" applyBorder="1"/>
    <xf numFmtId="0" fontId="7" fillId="0" borderId="5" xfId="0" applyFont="1" applyBorder="1" applyAlignment="1">
      <alignment horizontal="center"/>
    </xf>
    <xf numFmtId="0" fontId="7" fillId="2" borderId="26" xfId="0" applyFont="1" applyFill="1" applyBorder="1"/>
    <xf numFmtId="0" fontId="0" fillId="0" borderId="9" xfId="0" applyBorder="1" applyAlignment="1">
      <alignment horizontal="center"/>
    </xf>
    <xf numFmtId="0" fontId="7" fillId="2" borderId="27" xfId="0" applyFont="1" applyFill="1" applyBorder="1"/>
    <xf numFmtId="0" fontId="7" fillId="0" borderId="28" xfId="0" applyFont="1" applyBorder="1" applyAlignment="1">
      <alignment horizontal="center"/>
    </xf>
    <xf numFmtId="0" fontId="6" fillId="3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0" xfId="0" applyFont="1"/>
    <xf numFmtId="0" fontId="7" fillId="2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3" fillId="0" borderId="7" xfId="0" applyFont="1" applyBorder="1"/>
    <xf numFmtId="2" fontId="3" fillId="0" borderId="5" xfId="0" applyNumberFormat="1" applyFont="1" applyBorder="1" applyAlignment="1">
      <alignment horizontal="center" wrapText="1"/>
    </xf>
    <xf numFmtId="2" fontId="3" fillId="0" borderId="25" xfId="0" applyNumberFormat="1" applyFont="1" applyBorder="1" applyAlignment="1">
      <alignment horizontal="center" wrapText="1"/>
    </xf>
    <xf numFmtId="0" fontId="3" fillId="0" borderId="1" xfId="0" applyFont="1" applyBorder="1"/>
    <xf numFmtId="2" fontId="3" fillId="0" borderId="2" xfId="0" applyNumberFormat="1" applyFont="1" applyBorder="1" applyAlignment="1">
      <alignment horizontal="center" wrapText="1"/>
    </xf>
    <xf numFmtId="0" fontId="3" fillId="0" borderId="12" xfId="0" applyFont="1" applyBorder="1"/>
    <xf numFmtId="0" fontId="3" fillId="0" borderId="8" xfId="0" applyFont="1" applyBorder="1"/>
    <xf numFmtId="2" fontId="3" fillId="0" borderId="9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7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center" wrapText="1"/>
    </xf>
    <xf numFmtId="2" fontId="3" fillId="0" borderId="20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32" xfId="0" applyNumberFormat="1" applyFont="1" applyBorder="1" applyAlignment="1">
      <alignment horizont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34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/>
    <xf numFmtId="0" fontId="9" fillId="0" borderId="2" xfId="0" applyFont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7" fillId="4" borderId="39" xfId="0" applyFont="1" applyFill="1" applyBorder="1" applyAlignment="1">
      <alignment horizontal="center"/>
    </xf>
    <xf numFmtId="0" fontId="17" fillId="4" borderId="38" xfId="0" applyFont="1" applyFill="1" applyBorder="1" applyAlignment="1">
      <alignment horizontal="center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 wrapText="1"/>
    </xf>
    <xf numFmtId="3" fontId="10" fillId="6" borderId="13" xfId="0" applyNumberFormat="1" applyFont="1" applyFill="1" applyBorder="1" applyAlignment="1">
      <alignment horizontal="center" vertical="center" wrapText="1"/>
    </xf>
    <xf numFmtId="3" fontId="10" fillId="6" borderId="17" xfId="0" applyNumberFormat="1" applyFont="1" applyFill="1" applyBorder="1" applyAlignment="1">
      <alignment horizontal="center" vertical="center" wrapText="1"/>
    </xf>
    <xf numFmtId="3" fontId="10" fillId="6" borderId="25" xfId="0" applyNumberFormat="1" applyFont="1" applyFill="1" applyBorder="1" applyAlignment="1">
      <alignment horizontal="center" vertical="center" wrapText="1"/>
    </xf>
    <xf numFmtId="3" fontId="10" fillId="6" borderId="24" xfId="0" applyNumberFormat="1" applyFont="1" applyFill="1" applyBorder="1" applyAlignment="1">
      <alignment horizontal="center"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3" fontId="10" fillId="6" borderId="9" xfId="0" applyNumberFormat="1" applyFont="1" applyFill="1" applyBorder="1" applyAlignment="1">
      <alignment horizontal="center" vertical="center" wrapText="1"/>
    </xf>
    <xf numFmtId="3" fontId="10" fillId="6" borderId="20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10" fillId="0" borderId="2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3" fontId="3" fillId="3" borderId="24" xfId="0" applyNumberFormat="1" applyFont="1" applyFill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3" fontId="3" fillId="3" borderId="30" xfId="0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3" borderId="20" xfId="0" applyNumberFormat="1" applyFont="1" applyFill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3" borderId="17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3" borderId="18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3" borderId="31" xfId="0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3" borderId="32" xfId="0" applyNumberFormat="1" applyFont="1" applyFill="1" applyBorder="1" applyAlignment="1">
      <alignment horizontal="center"/>
    </xf>
    <xf numFmtId="3" fontId="3" fillId="3" borderId="2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3" fontId="7" fillId="2" borderId="23" xfId="0" applyNumberFormat="1" applyFont="1" applyFill="1" applyBorder="1" applyAlignment="1">
      <alignment horizontal="center"/>
    </xf>
    <xf numFmtId="3" fontId="7" fillId="3" borderId="23" xfId="0" applyNumberFormat="1" applyFont="1" applyFill="1" applyBorder="1" applyAlignment="1">
      <alignment horizontal="center"/>
    </xf>
    <xf numFmtId="3" fontId="7" fillId="3" borderId="22" xfId="0" applyNumberFormat="1" applyFont="1" applyFill="1" applyBorder="1" applyAlignment="1">
      <alignment horizontal="center"/>
    </xf>
    <xf numFmtId="3" fontId="7" fillId="2" borderId="22" xfId="0" applyNumberFormat="1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3" fontId="7" fillId="3" borderId="13" xfId="0" applyNumberFormat="1" applyFont="1" applyFill="1" applyBorder="1" applyAlignment="1">
      <alignment horizontal="center"/>
    </xf>
    <xf numFmtId="3" fontId="7" fillId="2" borderId="17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3" borderId="24" xfId="0" applyNumberFormat="1" applyFont="1" applyFill="1" applyBorder="1" applyAlignment="1">
      <alignment horizontal="center"/>
    </xf>
    <xf numFmtId="3" fontId="7" fillId="3" borderId="25" xfId="0" applyNumberFormat="1" applyFont="1" applyFill="1" applyBorder="1" applyAlignment="1">
      <alignment horizontal="center"/>
    </xf>
    <xf numFmtId="3" fontId="7" fillId="3" borderId="9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3" fontId="7" fillId="3" borderId="28" xfId="0" applyNumberFormat="1" applyFont="1" applyFill="1" applyBorder="1" applyAlignment="1">
      <alignment horizontal="center"/>
    </xf>
    <xf numFmtId="3" fontId="0" fillId="3" borderId="22" xfId="0" applyNumberFormat="1" applyFill="1" applyBorder="1" applyAlignment="1">
      <alignment horizontal="center"/>
    </xf>
    <xf numFmtId="3" fontId="0" fillId="2" borderId="22" xfId="0" applyNumberForma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3" fillId="2" borderId="21" xfId="0" applyFont="1" applyFill="1" applyBorder="1"/>
    <xf numFmtId="0" fontId="3" fillId="2" borderId="12" xfId="0" applyFont="1" applyFill="1" applyBorder="1"/>
    <xf numFmtId="0" fontId="3" fillId="2" borderId="8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0" fontId="3" fillId="2" borderId="2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165" fontId="5" fillId="3" borderId="13" xfId="0" applyNumberFormat="1" applyFont="1" applyFill="1" applyBorder="1" applyAlignment="1">
      <alignment horizontal="center"/>
    </xf>
    <xf numFmtId="3" fontId="3" fillId="7" borderId="23" xfId="0" applyNumberFormat="1" applyFont="1" applyFill="1" applyBorder="1" applyAlignment="1">
      <alignment horizontal="center"/>
    </xf>
    <xf numFmtId="3" fontId="3" fillId="7" borderId="22" xfId="0" applyNumberFormat="1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3" fontId="3" fillId="3" borderId="22" xfId="0" applyNumberFormat="1" applyFont="1" applyFill="1" applyBorder="1" applyAlignment="1">
      <alignment horizontal="center"/>
    </xf>
    <xf numFmtId="3" fontId="3" fillId="2" borderId="22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3" fillId="2" borderId="13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3" fillId="2" borderId="20" xfId="0" applyNumberFormat="1" applyFont="1" applyFill="1" applyBorder="1" applyAlignment="1">
      <alignment horizontal="center"/>
    </xf>
    <xf numFmtId="3" fontId="3" fillId="7" borderId="5" xfId="0" applyNumberFormat="1" applyFont="1" applyFill="1" applyBorder="1" applyAlignment="1">
      <alignment horizontal="center"/>
    </xf>
    <xf numFmtId="3" fontId="3" fillId="7" borderId="9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>
      <alignment horizontal="center"/>
    </xf>
    <xf numFmtId="3" fontId="3" fillId="3" borderId="28" xfId="0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0" fillId="8" borderId="0" xfId="0" applyFill="1"/>
    <xf numFmtId="0" fontId="3" fillId="0" borderId="2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" fontId="3" fillId="3" borderId="23" xfId="0" applyNumberFormat="1" applyFont="1" applyFill="1" applyBorder="1" applyAlignment="1">
      <alignment horizontal="center"/>
    </xf>
    <xf numFmtId="0" fontId="3" fillId="2" borderId="1" xfId="0" applyFont="1" applyFill="1" applyBorder="1"/>
    <xf numFmtId="3" fontId="0" fillId="0" borderId="0" xfId="0" applyNumberFormat="1"/>
  </cellXfs>
  <cellStyles count="42">
    <cellStyle name="Обычный" xfId="0" builtinId="0"/>
    <cellStyle name="Обычный 10" xfId="1"/>
    <cellStyle name="Обычный 10 2" xfId="2"/>
    <cellStyle name="Обычный 11" xfId="3"/>
    <cellStyle name="Обычный 12" xfId="4"/>
    <cellStyle name="Обычный 2" xfId="5"/>
    <cellStyle name="Обычный 2 2" xfId="6"/>
    <cellStyle name="Обычный 2 2 2" xfId="7"/>
    <cellStyle name="Обычный 2 2 2 2" xfId="8"/>
    <cellStyle name="Обычный 2 2 2 2 2" xfId="9"/>
    <cellStyle name="Обычный 2 2 2 3" xfId="10"/>
    <cellStyle name="Обычный 2 2 3" xfId="11"/>
    <cellStyle name="Обычный 2 2 3 2" xfId="12"/>
    <cellStyle name="Обычный 2 2 4" xfId="13"/>
    <cellStyle name="Обычный 2 3" xfId="14"/>
    <cellStyle name="Обычный 2 3 2" xfId="15"/>
    <cellStyle name="Обычный 2 3 2 2" xfId="16"/>
    <cellStyle name="Обычный 2 3 3" xfId="17"/>
    <cellStyle name="Обычный 2 4" xfId="18"/>
    <cellStyle name="Обычный 2 4 2" xfId="19"/>
    <cellStyle name="Обычный 2 5" xfId="20"/>
    <cellStyle name="Обычный 3" xfId="21"/>
    <cellStyle name="Обычный 3 2" xfId="22"/>
    <cellStyle name="Обычный 3 2 2" xfId="23"/>
    <cellStyle name="Обычный 3 2 2 2" xfId="24"/>
    <cellStyle name="Обычный 3 2 3" xfId="25"/>
    <cellStyle name="Обычный 3 3" xfId="26"/>
    <cellStyle name="Обычный 3 3 2" xfId="27"/>
    <cellStyle name="Обычный 3 4" xfId="28"/>
    <cellStyle name="Обычный 3 5" xfId="29"/>
    <cellStyle name="Обычный 4" xfId="30"/>
    <cellStyle name="Обычный 4 2" xfId="31"/>
    <cellStyle name="Обычный 5" xfId="32"/>
    <cellStyle name="Обычный 5 2" xfId="33"/>
    <cellStyle name="Обычный 6" xfId="34"/>
    <cellStyle name="Обычный 6 2" xfId="35"/>
    <cellStyle name="Обычный 7" xfId="36"/>
    <cellStyle name="Обычный 7 2" xfId="37"/>
    <cellStyle name="Обычный 8" xfId="38"/>
    <cellStyle name="Обычный 8 2" xfId="39"/>
    <cellStyle name="Обычный 9" xfId="40"/>
    <cellStyle name="Обычный 9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7"/>
  <sheetViews>
    <sheetView workbookViewId="0">
      <selection activeCell="F18" sqref="F18"/>
    </sheetView>
  </sheetViews>
  <sheetFormatPr defaultColWidth="9" defaultRowHeight="15"/>
  <cols>
    <col min="1" max="1" width="30.140625" customWidth="1"/>
    <col min="2" max="2" width="11.42578125" customWidth="1"/>
    <col min="3" max="3" width="15.7109375" customWidth="1"/>
    <col min="4" max="4" width="14" customWidth="1"/>
    <col min="6" max="6" width="44" customWidth="1"/>
  </cols>
  <sheetData>
    <row r="1" spans="1:3" ht="15.75" thickBot="1"/>
    <row r="2" spans="1:3" ht="30.75" customHeight="1" thickBot="1">
      <c r="A2" s="197" t="s">
        <v>21</v>
      </c>
      <c r="B2" s="206" t="s">
        <v>54</v>
      </c>
      <c r="C2" s="205" t="s">
        <v>96</v>
      </c>
    </row>
    <row r="3" spans="1:3" ht="15.75" thickBot="1">
      <c r="A3" s="201" t="s">
        <v>57</v>
      </c>
      <c r="B3" s="207">
        <v>55.5</v>
      </c>
      <c r="C3" s="204" t="s">
        <v>94</v>
      </c>
    </row>
    <row r="4" spans="1:3">
      <c r="A4" s="199" t="s">
        <v>61</v>
      </c>
      <c r="B4" s="208">
        <v>37</v>
      </c>
      <c r="C4" s="191" t="s">
        <v>92</v>
      </c>
    </row>
    <row r="5" spans="1:3">
      <c r="A5" s="199" t="s">
        <v>62</v>
      </c>
      <c r="B5" s="208">
        <v>55</v>
      </c>
      <c r="C5" s="193" t="s">
        <v>93</v>
      </c>
    </row>
    <row r="6" spans="1:3" ht="15.75" thickBot="1">
      <c r="A6" s="200" t="s">
        <v>63</v>
      </c>
      <c r="B6" s="209">
        <v>64.8</v>
      </c>
      <c r="C6" s="192" t="s">
        <v>93</v>
      </c>
    </row>
    <row r="7" spans="1:3">
      <c r="A7" s="199" t="s">
        <v>65</v>
      </c>
      <c r="B7" s="210">
        <v>34</v>
      </c>
      <c r="C7" s="191" t="s">
        <v>92</v>
      </c>
    </row>
    <row r="8" spans="1:3">
      <c r="A8" s="199" t="s">
        <v>65</v>
      </c>
      <c r="B8" s="210">
        <v>37</v>
      </c>
      <c r="C8" s="193" t="s">
        <v>92</v>
      </c>
    </row>
    <row r="9" spans="1:3">
      <c r="A9" s="199" t="s">
        <v>66</v>
      </c>
      <c r="B9" s="210">
        <v>51.1</v>
      </c>
      <c r="C9" s="193" t="s">
        <v>93</v>
      </c>
    </row>
    <row r="10" spans="1:3">
      <c r="A10" s="199" t="s">
        <v>65</v>
      </c>
      <c r="B10" s="210">
        <v>55</v>
      </c>
      <c r="C10" s="193" t="s">
        <v>93</v>
      </c>
    </row>
    <row r="11" spans="1:3" ht="15.75" thickBot="1">
      <c r="A11" s="201" t="s">
        <v>66</v>
      </c>
      <c r="B11" s="209">
        <v>56.5</v>
      </c>
      <c r="C11" s="192" t="s">
        <v>93</v>
      </c>
    </row>
    <row r="12" spans="1:3">
      <c r="A12" s="199" t="s">
        <v>69</v>
      </c>
      <c r="B12" s="210">
        <v>37</v>
      </c>
      <c r="C12" s="191" t="s">
        <v>92</v>
      </c>
    </row>
    <row r="13" spans="1:3">
      <c r="A13" s="199" t="s">
        <v>68</v>
      </c>
      <c r="B13" s="210">
        <v>37.700000000000003</v>
      </c>
      <c r="C13" s="193" t="s">
        <v>92</v>
      </c>
    </row>
    <row r="14" spans="1:3" ht="15.75" thickBot="1">
      <c r="A14" s="202" t="s">
        <v>69</v>
      </c>
      <c r="B14" s="211">
        <v>55</v>
      </c>
      <c r="C14" s="196" t="s">
        <v>93</v>
      </c>
    </row>
    <row r="15" spans="1:3" ht="15.75" thickBot="1">
      <c r="A15" s="198" t="s">
        <v>70</v>
      </c>
      <c r="B15" s="203">
        <v>64.5</v>
      </c>
      <c r="C15" s="190" t="s">
        <v>93</v>
      </c>
    </row>
    <row r="16" spans="1:3" ht="15.75" thickBot="1">
      <c r="A16" s="198" t="s">
        <v>71</v>
      </c>
      <c r="B16" s="203">
        <v>64.5</v>
      </c>
      <c r="C16" s="204" t="s">
        <v>93</v>
      </c>
    </row>
    <row r="17" spans="3:3">
      <c r="C17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7"/>
  <sheetViews>
    <sheetView topLeftCell="A12" zoomScale="90" zoomScaleNormal="90" workbookViewId="0">
      <selection activeCell="J97" sqref="J97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7109375" customWidth="1"/>
    <col min="12" max="12" width="15.85546875" customWidth="1"/>
    <col min="13" max="13" width="13" customWidth="1"/>
    <col min="14" max="14" width="13.140625" customWidth="1"/>
  </cols>
  <sheetData>
    <row r="1" spans="1:10" s="1" customFormat="1" ht="19.5" thickBot="1">
      <c r="A1" s="164" t="s">
        <v>133</v>
      </c>
      <c r="E1" s="4"/>
      <c r="F1" s="4"/>
      <c r="G1" s="4"/>
      <c r="H1" s="4"/>
      <c r="I1" s="4"/>
      <c r="J1" s="4"/>
    </row>
    <row r="2" spans="1:10" s="2" customFormat="1" ht="45">
      <c r="A2" s="5" t="s">
        <v>21</v>
      </c>
      <c r="B2" s="6" t="s">
        <v>72</v>
      </c>
      <c r="C2" s="7" t="s">
        <v>73</v>
      </c>
      <c r="D2" s="8" t="s">
        <v>74</v>
      </c>
      <c r="E2" s="7" t="s">
        <v>75</v>
      </c>
      <c r="F2" s="7" t="s">
        <v>74</v>
      </c>
      <c r="G2" s="9" t="s">
        <v>76</v>
      </c>
    </row>
    <row r="3" spans="1:10">
      <c r="A3" s="10" t="s">
        <v>77</v>
      </c>
      <c r="B3" s="11">
        <v>20.67</v>
      </c>
      <c r="C3" s="104">
        <v>116500</v>
      </c>
      <c r="D3" s="104">
        <f>C3*B3</f>
        <v>2408055</v>
      </c>
      <c r="E3" s="105"/>
      <c r="F3" s="105"/>
      <c r="G3" s="12" t="s">
        <v>7</v>
      </c>
    </row>
    <row r="4" spans="1:10" ht="15.75" thickBot="1">
      <c r="A4" s="114" t="s">
        <v>90</v>
      </c>
      <c r="B4" s="115">
        <v>52.97</v>
      </c>
      <c r="C4" s="116">
        <v>82153</v>
      </c>
      <c r="D4" s="116">
        <f>C4*B4</f>
        <v>4351644.41</v>
      </c>
      <c r="E4" s="106"/>
      <c r="F4" s="106"/>
      <c r="G4" s="117" t="s">
        <v>7</v>
      </c>
    </row>
    <row r="5" spans="1:10">
      <c r="A5" s="120" t="s">
        <v>91</v>
      </c>
      <c r="B5" s="20">
        <v>38.25</v>
      </c>
      <c r="C5" s="108">
        <v>97500</v>
      </c>
      <c r="D5" s="108">
        <f>C5*B5</f>
        <v>3729375</v>
      </c>
      <c r="E5" s="155"/>
      <c r="F5" s="155"/>
      <c r="G5" s="110" t="s">
        <v>7</v>
      </c>
      <c r="I5" s="33"/>
    </row>
    <row r="6" spans="1:10" ht="15.75" thickBot="1">
      <c r="A6" s="121" t="s">
        <v>91</v>
      </c>
      <c r="B6" s="115">
        <v>40.89</v>
      </c>
      <c r="C6" s="116">
        <v>94000</v>
      </c>
      <c r="D6" s="116">
        <f>C6*B6</f>
        <v>3843660</v>
      </c>
      <c r="E6" s="106"/>
      <c r="F6" s="106"/>
      <c r="G6" s="119" t="s">
        <v>7</v>
      </c>
      <c r="I6" s="33"/>
    </row>
    <row r="7" spans="1:10" s="2" customFormat="1">
      <c r="A7" s="22" t="s">
        <v>78</v>
      </c>
      <c r="B7" s="23">
        <v>38.25</v>
      </c>
      <c r="C7" s="156">
        <v>97500</v>
      </c>
      <c r="D7" s="107">
        <f>C7*B7</f>
        <v>3729375</v>
      </c>
      <c r="E7" s="223">
        <v>98500</v>
      </c>
      <c r="F7" s="107">
        <f>E7*B7</f>
        <v>3767625</v>
      </c>
      <c r="G7" s="25" t="s">
        <v>30</v>
      </c>
      <c r="I7" s="33"/>
    </row>
    <row r="8" spans="1:10" s="2" customFormat="1">
      <c r="A8" s="13" t="s">
        <v>79</v>
      </c>
      <c r="B8" s="14">
        <v>43.2</v>
      </c>
      <c r="C8" s="232">
        <v>92000</v>
      </c>
      <c r="D8" s="105">
        <f t="shared" ref="D8:D11" si="0">C8*B8</f>
        <v>3974400.0000000005</v>
      </c>
      <c r="E8" s="225">
        <v>93000</v>
      </c>
      <c r="F8" s="105">
        <f t="shared" ref="F8:F13" si="1">E8*B8</f>
        <v>4017600.0000000005</v>
      </c>
      <c r="G8" s="15" t="s">
        <v>30</v>
      </c>
      <c r="I8" s="33"/>
    </row>
    <row r="9" spans="1:10" s="2" customFormat="1">
      <c r="A9" s="13" t="s">
        <v>79</v>
      </c>
      <c r="B9" s="14">
        <v>45.32</v>
      </c>
      <c r="C9" s="232">
        <v>91000</v>
      </c>
      <c r="D9" s="105">
        <f t="shared" si="0"/>
        <v>4124120</v>
      </c>
      <c r="E9" s="225">
        <v>92000</v>
      </c>
      <c r="F9" s="105">
        <f t="shared" si="1"/>
        <v>4169440</v>
      </c>
      <c r="G9" s="15" t="s">
        <v>30</v>
      </c>
      <c r="I9" s="33"/>
    </row>
    <row r="10" spans="1:10" s="2" customFormat="1">
      <c r="A10" s="13" t="s">
        <v>79</v>
      </c>
      <c r="B10" s="14">
        <v>48.45</v>
      </c>
      <c r="C10" s="232">
        <v>87788</v>
      </c>
      <c r="D10" s="105">
        <f t="shared" si="0"/>
        <v>4253328.6000000006</v>
      </c>
      <c r="E10" s="225">
        <v>88788</v>
      </c>
      <c r="F10" s="105">
        <f t="shared" si="1"/>
        <v>4301778.6000000006</v>
      </c>
      <c r="G10" s="15" t="s">
        <v>30</v>
      </c>
      <c r="I10" s="33"/>
    </row>
    <row r="11" spans="1:10" s="2" customFormat="1">
      <c r="A11" s="16" t="s">
        <v>79</v>
      </c>
      <c r="B11" s="17">
        <v>55.52</v>
      </c>
      <c r="C11" s="157">
        <v>82153</v>
      </c>
      <c r="D11" s="106">
        <f t="shared" si="0"/>
        <v>4561134.5600000005</v>
      </c>
      <c r="E11" s="226">
        <v>83153</v>
      </c>
      <c r="F11" s="106">
        <f t="shared" si="1"/>
        <v>4616654.5600000005</v>
      </c>
      <c r="G11" s="18" t="s">
        <v>30</v>
      </c>
      <c r="I11" s="33"/>
    </row>
    <row r="12" spans="1:10">
      <c r="A12" s="19" t="s">
        <v>80</v>
      </c>
      <c r="B12" s="20">
        <v>18.95</v>
      </c>
      <c r="C12" s="108">
        <v>119500</v>
      </c>
      <c r="D12" s="104">
        <f>B12*C12</f>
        <v>2264525</v>
      </c>
      <c r="E12" s="108">
        <v>120500</v>
      </c>
      <c r="F12" s="108">
        <f t="shared" si="1"/>
        <v>2283475</v>
      </c>
      <c r="G12" s="110" t="s">
        <v>30</v>
      </c>
      <c r="I12" s="33"/>
    </row>
    <row r="13" spans="1:10">
      <c r="A13" s="10" t="s">
        <v>80</v>
      </c>
      <c r="B13" s="11">
        <v>20.67</v>
      </c>
      <c r="C13" s="104">
        <v>116500</v>
      </c>
      <c r="D13" s="104">
        <f>C13*B13</f>
        <v>2408055</v>
      </c>
      <c r="E13" s="104">
        <v>117500</v>
      </c>
      <c r="F13" s="104">
        <f t="shared" si="1"/>
        <v>2428725</v>
      </c>
      <c r="G13" s="109" t="s">
        <v>30</v>
      </c>
      <c r="I13" s="33"/>
    </row>
    <row r="14" spans="1:10">
      <c r="A14" s="22" t="s">
        <v>81</v>
      </c>
      <c r="B14" s="23">
        <v>34.630000000000003</v>
      </c>
      <c r="C14" s="156">
        <v>101204</v>
      </c>
      <c r="D14" s="105">
        <f t="shared" ref="D14:D16" si="2">C14*B14</f>
        <v>3504694.5200000005</v>
      </c>
      <c r="E14" s="223">
        <v>102204</v>
      </c>
      <c r="F14" s="105">
        <f t="shared" ref="F14:F16" si="3">E14*B14</f>
        <v>3539324.5200000005</v>
      </c>
      <c r="G14" s="111" t="s">
        <v>30</v>
      </c>
      <c r="I14" s="33"/>
    </row>
    <row r="15" spans="1:10">
      <c r="A15" s="13" t="s">
        <v>82</v>
      </c>
      <c r="B15" s="14">
        <v>38.25</v>
      </c>
      <c r="C15" s="232">
        <v>97500</v>
      </c>
      <c r="D15" s="105">
        <f t="shared" si="2"/>
        <v>3729375</v>
      </c>
      <c r="E15" s="225">
        <v>98500</v>
      </c>
      <c r="F15" s="105">
        <f t="shared" si="3"/>
        <v>3767625</v>
      </c>
      <c r="G15" s="111" t="s">
        <v>30</v>
      </c>
      <c r="I15" s="33"/>
    </row>
    <row r="16" spans="1:10">
      <c r="A16" s="24" t="s">
        <v>81</v>
      </c>
      <c r="B16" s="14">
        <v>39</v>
      </c>
      <c r="C16" s="232">
        <v>97274</v>
      </c>
      <c r="D16" s="105">
        <f t="shared" si="2"/>
        <v>3793686</v>
      </c>
      <c r="E16" s="232">
        <v>98274</v>
      </c>
      <c r="F16" s="105">
        <f t="shared" si="3"/>
        <v>3832686</v>
      </c>
      <c r="G16" s="111" t="s">
        <v>30</v>
      </c>
      <c r="I16" s="33"/>
    </row>
    <row r="17" spans="1:9">
      <c r="A17" s="22" t="s">
        <v>83</v>
      </c>
      <c r="B17" s="23">
        <v>40.89</v>
      </c>
      <c r="C17" s="156">
        <v>94000</v>
      </c>
      <c r="D17" s="107">
        <f t="shared" ref="D17:D28" si="4">C17*B17</f>
        <v>3843660</v>
      </c>
      <c r="E17" s="223">
        <v>95000</v>
      </c>
      <c r="F17" s="107">
        <f t="shared" ref="F17:F28" si="5">E17*B17</f>
        <v>3884550</v>
      </c>
      <c r="G17" s="112" t="s">
        <v>30</v>
      </c>
      <c r="I17" s="33"/>
    </row>
    <row r="18" spans="1:9">
      <c r="A18" s="13" t="s">
        <v>83</v>
      </c>
      <c r="B18" s="14">
        <v>43.2</v>
      </c>
      <c r="C18" s="232">
        <v>92000</v>
      </c>
      <c r="D18" s="105">
        <f t="shared" si="4"/>
        <v>3974400.0000000005</v>
      </c>
      <c r="E18" s="225">
        <v>93000</v>
      </c>
      <c r="F18" s="105">
        <f t="shared" si="5"/>
        <v>4017600.0000000005</v>
      </c>
      <c r="G18" s="111" t="s">
        <v>30</v>
      </c>
      <c r="I18" s="33"/>
    </row>
    <row r="19" spans="1:9">
      <c r="A19" s="13" t="s">
        <v>83</v>
      </c>
      <c r="B19" s="14">
        <v>45.32</v>
      </c>
      <c r="C19" s="232">
        <v>91000</v>
      </c>
      <c r="D19" s="105">
        <f t="shared" si="4"/>
        <v>4124120</v>
      </c>
      <c r="E19" s="225">
        <v>92000</v>
      </c>
      <c r="F19" s="105">
        <f t="shared" si="5"/>
        <v>4169440</v>
      </c>
      <c r="G19" s="111" t="s">
        <v>30</v>
      </c>
      <c r="I19" s="33"/>
    </row>
    <row r="20" spans="1:9">
      <c r="A20" s="13" t="s">
        <v>83</v>
      </c>
      <c r="B20" s="14">
        <v>48.45</v>
      </c>
      <c r="C20" s="232">
        <v>87788</v>
      </c>
      <c r="D20" s="105">
        <f t="shared" si="4"/>
        <v>4253328.6000000006</v>
      </c>
      <c r="E20" s="225">
        <v>88788</v>
      </c>
      <c r="F20" s="105">
        <f t="shared" si="5"/>
        <v>4301778.6000000006</v>
      </c>
      <c r="G20" s="111" t="s">
        <v>30</v>
      </c>
      <c r="I20" s="33"/>
    </row>
    <row r="21" spans="1:9">
      <c r="A21" s="16" t="s">
        <v>83</v>
      </c>
      <c r="B21" s="17">
        <v>55.52</v>
      </c>
      <c r="C21" s="157">
        <v>82153</v>
      </c>
      <c r="D21" s="106">
        <f t="shared" si="4"/>
        <v>4561134.5600000005</v>
      </c>
      <c r="E21" s="226">
        <v>83153</v>
      </c>
      <c r="F21" s="106">
        <f t="shared" si="5"/>
        <v>4616654.5600000005</v>
      </c>
      <c r="G21" s="113" t="s">
        <v>30</v>
      </c>
      <c r="I21" s="33"/>
    </row>
    <row r="22" spans="1:9">
      <c r="A22" s="19" t="s">
        <v>84</v>
      </c>
      <c r="B22" s="20">
        <v>17</v>
      </c>
      <c r="C22" s="108">
        <f>125100+1000</f>
        <v>126100</v>
      </c>
      <c r="D22" s="108">
        <f t="shared" si="4"/>
        <v>2143700</v>
      </c>
      <c r="E22" s="108">
        <f>126100+1000</f>
        <v>127100</v>
      </c>
      <c r="F22" s="108">
        <f t="shared" si="5"/>
        <v>2160700</v>
      </c>
      <c r="G22" s="110" t="s">
        <v>30</v>
      </c>
      <c r="I22" s="33"/>
    </row>
    <row r="23" spans="1:9">
      <c r="A23" s="26" t="s">
        <v>84</v>
      </c>
      <c r="B23" s="11">
        <v>17.3</v>
      </c>
      <c r="C23" s="104">
        <f>125100+1000</f>
        <v>126100</v>
      </c>
      <c r="D23" s="104">
        <f t="shared" si="4"/>
        <v>2181530</v>
      </c>
      <c r="E23" s="104">
        <f>126100+1000</f>
        <v>127100</v>
      </c>
      <c r="F23" s="104">
        <f t="shared" si="5"/>
        <v>2198830</v>
      </c>
      <c r="G23" s="109" t="s">
        <v>30</v>
      </c>
      <c r="I23" s="33"/>
    </row>
    <row r="24" spans="1:9">
      <c r="A24" s="27" t="s">
        <v>84</v>
      </c>
      <c r="B24" s="11">
        <v>20</v>
      </c>
      <c r="C24" s="104">
        <f>120100+1000</f>
        <v>121100</v>
      </c>
      <c r="D24" s="104">
        <f t="shared" si="4"/>
        <v>2422000</v>
      </c>
      <c r="E24" s="104">
        <f>121100+1000</f>
        <v>122100</v>
      </c>
      <c r="F24" s="104">
        <f t="shared" si="5"/>
        <v>2442000</v>
      </c>
      <c r="G24" s="109" t="s">
        <v>30</v>
      </c>
      <c r="I24" s="33"/>
    </row>
    <row r="25" spans="1:9">
      <c r="A25" s="26" t="s">
        <v>84</v>
      </c>
      <c r="B25" s="11">
        <v>20.3</v>
      </c>
      <c r="C25" s="104">
        <f>120100+1000</f>
        <v>121100</v>
      </c>
      <c r="D25" s="104">
        <f t="shared" si="4"/>
        <v>2458330</v>
      </c>
      <c r="E25" s="104">
        <f>121100+1000</f>
        <v>122100</v>
      </c>
      <c r="F25" s="104">
        <f t="shared" si="5"/>
        <v>2478630</v>
      </c>
      <c r="G25" s="109" t="s">
        <v>30</v>
      </c>
      <c r="I25" s="33"/>
    </row>
    <row r="26" spans="1:9">
      <c r="A26" s="13" t="s">
        <v>85</v>
      </c>
      <c r="B26" s="14">
        <v>42.1</v>
      </c>
      <c r="C26" s="232">
        <f>92000+1000</f>
        <v>93000</v>
      </c>
      <c r="D26" s="105">
        <f t="shared" si="4"/>
        <v>3915300</v>
      </c>
      <c r="E26" s="225">
        <f>93000+1000</f>
        <v>94000</v>
      </c>
      <c r="F26" s="105">
        <f t="shared" si="5"/>
        <v>3957400</v>
      </c>
      <c r="G26" s="111" t="s">
        <v>30</v>
      </c>
      <c r="I26" s="33"/>
    </row>
    <row r="27" spans="1:9">
      <c r="A27" s="22" t="s">
        <v>86</v>
      </c>
      <c r="B27" s="14">
        <v>46.7</v>
      </c>
      <c r="C27" s="232">
        <f>91000+1000</f>
        <v>92000</v>
      </c>
      <c r="D27" s="105">
        <f t="shared" si="4"/>
        <v>4296400</v>
      </c>
      <c r="E27" s="225">
        <f>92000+1000</f>
        <v>93000</v>
      </c>
      <c r="F27" s="105">
        <f t="shared" si="5"/>
        <v>4343100</v>
      </c>
      <c r="G27" s="111" t="s">
        <v>30</v>
      </c>
      <c r="I27" s="33"/>
    </row>
    <row r="28" spans="1:9">
      <c r="A28" s="16" t="s">
        <v>86</v>
      </c>
      <c r="B28" s="17">
        <v>57.1</v>
      </c>
      <c r="C28" s="157">
        <f>82153+1000</f>
        <v>83153</v>
      </c>
      <c r="D28" s="106">
        <f t="shared" si="4"/>
        <v>4748036.3</v>
      </c>
      <c r="E28" s="226">
        <f>83153+1000</f>
        <v>84153</v>
      </c>
      <c r="F28" s="106">
        <f t="shared" si="5"/>
        <v>4805136.3</v>
      </c>
      <c r="G28" s="113" t="s">
        <v>30</v>
      </c>
      <c r="I28" s="33"/>
    </row>
    <row r="29" spans="1:9">
      <c r="A29" s="19" t="s">
        <v>87</v>
      </c>
      <c r="B29" s="20">
        <v>17</v>
      </c>
      <c r="C29" s="108">
        <v>125100</v>
      </c>
      <c r="D29" s="108">
        <f t="shared" ref="D29:D35" si="6">C29*B29</f>
        <v>2126700</v>
      </c>
      <c r="E29" s="108">
        <v>126100</v>
      </c>
      <c r="F29" s="108">
        <f t="shared" ref="F29:F35" si="7">E29*B29</f>
        <v>2143700</v>
      </c>
      <c r="G29" s="21" t="s">
        <v>7</v>
      </c>
      <c r="I29" s="33"/>
    </row>
    <row r="30" spans="1:9">
      <c r="A30" s="26" t="s">
        <v>87</v>
      </c>
      <c r="B30" s="11">
        <v>17.3</v>
      </c>
      <c r="C30" s="104">
        <v>125100</v>
      </c>
      <c r="D30" s="104">
        <f t="shared" si="6"/>
        <v>2164230</v>
      </c>
      <c r="E30" s="104">
        <v>126100</v>
      </c>
      <c r="F30" s="104">
        <f t="shared" si="7"/>
        <v>2181530</v>
      </c>
      <c r="G30" s="12" t="s">
        <v>7</v>
      </c>
      <c r="I30" s="33"/>
    </row>
    <row r="31" spans="1:9">
      <c r="A31" s="27" t="s">
        <v>87</v>
      </c>
      <c r="B31" s="11">
        <v>20</v>
      </c>
      <c r="C31" s="104">
        <v>120100</v>
      </c>
      <c r="D31" s="104">
        <f t="shared" si="6"/>
        <v>2402000</v>
      </c>
      <c r="E31" s="104">
        <v>121100</v>
      </c>
      <c r="F31" s="104">
        <f t="shared" si="7"/>
        <v>2422000</v>
      </c>
      <c r="G31" s="12" t="s">
        <v>7</v>
      </c>
      <c r="I31" s="33"/>
    </row>
    <row r="32" spans="1:9">
      <c r="A32" s="26" t="s">
        <v>87</v>
      </c>
      <c r="B32" s="11">
        <v>20.3</v>
      </c>
      <c r="C32" s="104">
        <v>120100</v>
      </c>
      <c r="D32" s="104">
        <f t="shared" si="6"/>
        <v>2438030</v>
      </c>
      <c r="E32" s="104">
        <v>121100</v>
      </c>
      <c r="F32" s="104">
        <f t="shared" si="7"/>
        <v>2458330</v>
      </c>
      <c r="G32" s="12" t="s">
        <v>7</v>
      </c>
      <c r="I32" s="33"/>
    </row>
    <row r="33" spans="1:9">
      <c r="A33" s="13" t="s">
        <v>88</v>
      </c>
      <c r="B33" s="14">
        <v>42.1</v>
      </c>
      <c r="C33" s="232">
        <v>92000</v>
      </c>
      <c r="D33" s="105">
        <f t="shared" si="6"/>
        <v>3873200</v>
      </c>
      <c r="E33" s="225">
        <v>93000</v>
      </c>
      <c r="F33" s="105">
        <f t="shared" si="7"/>
        <v>3915300</v>
      </c>
      <c r="G33" s="15" t="s">
        <v>7</v>
      </c>
      <c r="I33" s="33"/>
    </row>
    <row r="34" spans="1:9">
      <c r="A34" s="22" t="s">
        <v>89</v>
      </c>
      <c r="B34" s="14">
        <v>46.7</v>
      </c>
      <c r="C34" s="232">
        <v>91000</v>
      </c>
      <c r="D34" s="105">
        <f t="shared" si="6"/>
        <v>4249700</v>
      </c>
      <c r="E34" s="225">
        <v>92000</v>
      </c>
      <c r="F34" s="105">
        <f t="shared" si="7"/>
        <v>4296400</v>
      </c>
      <c r="G34" s="15" t="s">
        <v>7</v>
      </c>
      <c r="I34" s="33"/>
    </row>
    <row r="35" spans="1:9">
      <c r="A35" s="16" t="s">
        <v>89</v>
      </c>
      <c r="B35" s="17">
        <v>57.1</v>
      </c>
      <c r="C35" s="157">
        <v>82153</v>
      </c>
      <c r="D35" s="106">
        <f t="shared" si="6"/>
        <v>4690936.3</v>
      </c>
      <c r="E35" s="226">
        <v>83153</v>
      </c>
      <c r="F35" s="106">
        <f t="shared" si="7"/>
        <v>4748036.3</v>
      </c>
      <c r="G35" s="18" t="s">
        <v>7</v>
      </c>
      <c r="I35" s="33"/>
    </row>
    <row r="36" spans="1:9">
      <c r="A36" s="28"/>
      <c r="B36" s="29"/>
      <c r="C36" s="30"/>
      <c r="D36" s="31"/>
      <c r="E36" s="32"/>
      <c r="F36" s="31"/>
      <c r="G36" s="28"/>
      <c r="I36" s="33"/>
    </row>
    <row r="37" spans="1:9" ht="19.5" thickBot="1">
      <c r="A37" s="164" t="s">
        <v>134</v>
      </c>
      <c r="B37" s="1"/>
      <c r="C37" s="1"/>
      <c r="D37" s="1"/>
      <c r="E37" s="4"/>
      <c r="F37" s="1"/>
      <c r="G37" s="4"/>
    </row>
    <row r="38" spans="1:9" ht="45">
      <c r="A38" s="5" t="s">
        <v>21</v>
      </c>
      <c r="B38" s="6" t="s">
        <v>72</v>
      </c>
      <c r="C38" s="7" t="s">
        <v>73</v>
      </c>
      <c r="D38" s="8" t="s">
        <v>74</v>
      </c>
      <c r="E38" s="7" t="s">
        <v>75</v>
      </c>
      <c r="F38" s="7" t="s">
        <v>74</v>
      </c>
      <c r="G38" s="9" t="s">
        <v>76</v>
      </c>
    </row>
    <row r="39" spans="1:9">
      <c r="A39" s="10" t="s">
        <v>77</v>
      </c>
      <c r="B39" s="11">
        <v>20.67</v>
      </c>
      <c r="C39" s="104">
        <f>D39/B39</f>
        <v>110674.99999999999</v>
      </c>
      <c r="D39" s="104">
        <f>D3*0.95</f>
        <v>2287652.25</v>
      </c>
      <c r="E39" s="105"/>
      <c r="F39" s="105"/>
      <c r="G39" s="12" t="s">
        <v>7</v>
      </c>
      <c r="I39" s="33"/>
    </row>
    <row r="40" spans="1:9" ht="15.75" thickBot="1">
      <c r="A40" s="114" t="s">
        <v>90</v>
      </c>
      <c r="B40" s="115">
        <v>52.97</v>
      </c>
      <c r="C40" s="116">
        <f>D40/B40</f>
        <v>78045.350000000006</v>
      </c>
      <c r="D40" s="116">
        <f>4351644.41*0.95</f>
        <v>4134062.1894999999</v>
      </c>
      <c r="E40" s="106"/>
      <c r="F40" s="106"/>
      <c r="G40" s="117" t="s">
        <v>7</v>
      </c>
      <c r="I40" s="33"/>
    </row>
    <row r="41" spans="1:9">
      <c r="A41" s="118" t="s">
        <v>91</v>
      </c>
      <c r="B41" s="20">
        <v>38.25</v>
      </c>
      <c r="C41" s="108">
        <f>D41/B41</f>
        <v>92625</v>
      </c>
      <c r="D41" s="108">
        <f>3729375*0.95</f>
        <v>3542906.25</v>
      </c>
      <c r="E41" s="155"/>
      <c r="F41" s="155"/>
      <c r="G41" s="110" t="s">
        <v>7</v>
      </c>
      <c r="I41" s="33"/>
    </row>
    <row r="42" spans="1:9" ht="15.75" thickBot="1">
      <c r="A42" s="114" t="s">
        <v>91</v>
      </c>
      <c r="B42" s="115">
        <v>40.89</v>
      </c>
      <c r="C42" s="116">
        <f>D42/B42</f>
        <v>89300</v>
      </c>
      <c r="D42" s="116">
        <f>3843660*0.95</f>
        <v>3651477</v>
      </c>
      <c r="E42" s="106"/>
      <c r="F42" s="106"/>
      <c r="G42" s="119" t="s">
        <v>7</v>
      </c>
      <c r="I42" s="33"/>
    </row>
    <row r="43" spans="1:9">
      <c r="A43" s="22" t="s">
        <v>78</v>
      </c>
      <c r="B43" s="23">
        <v>38.25</v>
      </c>
      <c r="C43" s="156">
        <f>D43/B43</f>
        <v>92625</v>
      </c>
      <c r="D43" s="107">
        <v>3542906.25</v>
      </c>
      <c r="E43" s="223">
        <f>F43/B43</f>
        <v>93575</v>
      </c>
      <c r="F43" s="107">
        <v>3579243.75</v>
      </c>
      <c r="G43" s="25" t="s">
        <v>30</v>
      </c>
    </row>
    <row r="44" spans="1:9">
      <c r="A44" s="13" t="s">
        <v>79</v>
      </c>
      <c r="B44" s="14">
        <v>43.2</v>
      </c>
      <c r="C44" s="232">
        <f t="shared" ref="C44:C71" si="8">D44/B44</f>
        <v>87400</v>
      </c>
      <c r="D44" s="105">
        <v>3775680</v>
      </c>
      <c r="E44" s="225">
        <f t="shared" ref="E44:E71" si="9">F44/B44</f>
        <v>88350</v>
      </c>
      <c r="F44" s="105">
        <v>3816720</v>
      </c>
      <c r="G44" s="15" t="s">
        <v>30</v>
      </c>
    </row>
    <row r="45" spans="1:9">
      <c r="A45" s="13" t="s">
        <v>79</v>
      </c>
      <c r="B45" s="14">
        <v>45.32</v>
      </c>
      <c r="C45" s="232">
        <f t="shared" si="8"/>
        <v>86450</v>
      </c>
      <c r="D45" s="105">
        <v>3917914</v>
      </c>
      <c r="E45" s="225">
        <f t="shared" si="9"/>
        <v>87400</v>
      </c>
      <c r="F45" s="105">
        <v>3960968</v>
      </c>
      <c r="G45" s="15" t="s">
        <v>30</v>
      </c>
    </row>
    <row r="46" spans="1:9">
      <c r="A46" s="13" t="s">
        <v>79</v>
      </c>
      <c r="B46" s="14">
        <v>48.45</v>
      </c>
      <c r="C46" s="232">
        <f t="shared" si="8"/>
        <v>83398.599999999991</v>
      </c>
      <c r="D46" s="105">
        <v>4040662.17</v>
      </c>
      <c r="E46" s="225">
        <f t="shared" si="9"/>
        <v>84348.599999999991</v>
      </c>
      <c r="F46" s="105">
        <v>4086689.67</v>
      </c>
      <c r="G46" s="15" t="s">
        <v>30</v>
      </c>
    </row>
    <row r="47" spans="1:9">
      <c r="A47" s="16" t="s">
        <v>79</v>
      </c>
      <c r="B47" s="17">
        <v>55.52</v>
      </c>
      <c r="C47" s="157">
        <f t="shared" si="8"/>
        <v>78045.350000000006</v>
      </c>
      <c r="D47" s="106">
        <v>4333077.8320000004</v>
      </c>
      <c r="E47" s="226">
        <f t="shared" si="9"/>
        <v>78995.350000000006</v>
      </c>
      <c r="F47" s="106">
        <v>4385821.8320000004</v>
      </c>
      <c r="G47" s="18" t="s">
        <v>30</v>
      </c>
    </row>
    <row r="48" spans="1:9">
      <c r="A48" s="19" t="s">
        <v>80</v>
      </c>
      <c r="B48" s="20">
        <v>18.95</v>
      </c>
      <c r="C48" s="108">
        <f t="shared" si="8"/>
        <v>113525</v>
      </c>
      <c r="D48" s="104">
        <v>2151298.75</v>
      </c>
      <c r="E48" s="108">
        <f t="shared" si="9"/>
        <v>114475</v>
      </c>
      <c r="F48" s="108">
        <v>2169301.25</v>
      </c>
      <c r="G48" s="110" t="s">
        <v>30</v>
      </c>
    </row>
    <row r="49" spans="1:9">
      <c r="A49" s="10" t="s">
        <v>80</v>
      </c>
      <c r="B49" s="11">
        <v>20.67</v>
      </c>
      <c r="C49" s="104">
        <f t="shared" si="8"/>
        <v>110674.99999999999</v>
      </c>
      <c r="D49" s="104">
        <v>2287652.25</v>
      </c>
      <c r="E49" s="104">
        <f t="shared" si="9"/>
        <v>111624.99999999999</v>
      </c>
      <c r="F49" s="104">
        <v>2307288.75</v>
      </c>
      <c r="G49" s="109" t="s">
        <v>30</v>
      </c>
    </row>
    <row r="50" spans="1:9">
      <c r="A50" s="22" t="s">
        <v>81</v>
      </c>
      <c r="B50" s="23">
        <v>34.630000000000003</v>
      </c>
      <c r="C50" s="156">
        <f t="shared" si="8"/>
        <v>96143.8</v>
      </c>
      <c r="D50" s="105">
        <v>3329459.7940000002</v>
      </c>
      <c r="E50" s="223">
        <f t="shared" si="9"/>
        <v>97093.8</v>
      </c>
      <c r="F50" s="105">
        <v>3362358.2940000002</v>
      </c>
      <c r="G50" s="111" t="s">
        <v>30</v>
      </c>
    </row>
    <row r="51" spans="1:9">
      <c r="A51" s="13" t="s">
        <v>82</v>
      </c>
      <c r="B51" s="14">
        <v>38.25</v>
      </c>
      <c r="C51" s="232">
        <f t="shared" si="8"/>
        <v>92625</v>
      </c>
      <c r="D51" s="105">
        <v>3542906.25</v>
      </c>
      <c r="E51" s="225">
        <f t="shared" si="9"/>
        <v>93575</v>
      </c>
      <c r="F51" s="105">
        <v>3579243.75</v>
      </c>
      <c r="G51" s="111" t="s">
        <v>30</v>
      </c>
    </row>
    <row r="52" spans="1:9">
      <c r="A52" s="24" t="s">
        <v>81</v>
      </c>
      <c r="B52" s="14">
        <v>39</v>
      </c>
      <c r="C52" s="232">
        <f t="shared" si="8"/>
        <v>92410.3</v>
      </c>
      <c r="D52" s="105">
        <v>3604001.7</v>
      </c>
      <c r="E52" s="232">
        <f t="shared" si="9"/>
        <v>93360.3</v>
      </c>
      <c r="F52" s="105">
        <v>3641051.7</v>
      </c>
      <c r="G52" s="111" t="s">
        <v>30</v>
      </c>
    </row>
    <row r="53" spans="1:9">
      <c r="A53" s="22" t="s">
        <v>83</v>
      </c>
      <c r="B53" s="23">
        <v>40.89</v>
      </c>
      <c r="C53" s="156">
        <f t="shared" si="8"/>
        <v>89300</v>
      </c>
      <c r="D53" s="107">
        <v>3651477</v>
      </c>
      <c r="E53" s="223">
        <f t="shared" si="9"/>
        <v>90250</v>
      </c>
      <c r="F53" s="107">
        <v>3690322.5</v>
      </c>
      <c r="G53" s="112" t="s">
        <v>30</v>
      </c>
    </row>
    <row r="54" spans="1:9">
      <c r="A54" s="13" t="s">
        <v>83</v>
      </c>
      <c r="B54" s="14">
        <v>43.2</v>
      </c>
      <c r="C54" s="232">
        <f t="shared" si="8"/>
        <v>87400</v>
      </c>
      <c r="D54" s="105">
        <v>3775680</v>
      </c>
      <c r="E54" s="225">
        <f t="shared" si="9"/>
        <v>88350</v>
      </c>
      <c r="F54" s="105">
        <v>3816720</v>
      </c>
      <c r="G54" s="111" t="s">
        <v>30</v>
      </c>
    </row>
    <row r="55" spans="1:9">
      <c r="A55" s="13" t="s">
        <v>83</v>
      </c>
      <c r="B55" s="14">
        <v>45.32</v>
      </c>
      <c r="C55" s="232">
        <f t="shared" si="8"/>
        <v>86450</v>
      </c>
      <c r="D55" s="105">
        <v>3917914</v>
      </c>
      <c r="E55" s="225">
        <f t="shared" si="9"/>
        <v>87400</v>
      </c>
      <c r="F55" s="105">
        <v>3960968</v>
      </c>
      <c r="G55" s="111" t="s">
        <v>30</v>
      </c>
    </row>
    <row r="56" spans="1:9">
      <c r="A56" s="13" t="s">
        <v>83</v>
      </c>
      <c r="B56" s="14">
        <v>48.45</v>
      </c>
      <c r="C56" s="232">
        <f t="shared" si="8"/>
        <v>83398.599999999991</v>
      </c>
      <c r="D56" s="105">
        <v>4040662.17</v>
      </c>
      <c r="E56" s="225">
        <f t="shared" si="9"/>
        <v>84348.599999999991</v>
      </c>
      <c r="F56" s="105">
        <v>4086689.67</v>
      </c>
      <c r="G56" s="111" t="s">
        <v>30</v>
      </c>
    </row>
    <row r="57" spans="1:9">
      <c r="A57" s="16" t="s">
        <v>83</v>
      </c>
      <c r="B57" s="17">
        <v>55.52</v>
      </c>
      <c r="C57" s="157">
        <f t="shared" si="8"/>
        <v>78045.350000000006</v>
      </c>
      <c r="D57" s="106">
        <v>4333077.8320000004</v>
      </c>
      <c r="E57" s="226">
        <f t="shared" si="9"/>
        <v>78995.350000000006</v>
      </c>
      <c r="F57" s="106">
        <v>4385821.8320000004</v>
      </c>
      <c r="G57" s="113" t="s">
        <v>30</v>
      </c>
    </row>
    <row r="58" spans="1:9">
      <c r="A58" s="19" t="s">
        <v>84</v>
      </c>
      <c r="B58" s="20">
        <v>17</v>
      </c>
      <c r="C58" s="108">
        <f t="shared" ref="C58:C64" si="10">D58/B58</f>
        <v>119795</v>
      </c>
      <c r="D58" s="108">
        <f>2143700*0.95</f>
        <v>2036515</v>
      </c>
      <c r="E58" s="108">
        <f t="shared" ref="E58:E64" si="11">F58/B58</f>
        <v>120745</v>
      </c>
      <c r="F58" s="108">
        <f>2160700*0.95</f>
        <v>2052665</v>
      </c>
      <c r="G58" s="110" t="s">
        <v>30</v>
      </c>
      <c r="I58" s="33"/>
    </row>
    <row r="59" spans="1:9">
      <c r="A59" s="26" t="s">
        <v>84</v>
      </c>
      <c r="B59" s="11">
        <v>17.3</v>
      </c>
      <c r="C59" s="104">
        <f t="shared" si="10"/>
        <v>119795</v>
      </c>
      <c r="D59" s="104">
        <f>2181530*0.95</f>
        <v>2072453.5</v>
      </c>
      <c r="E59" s="104">
        <f t="shared" si="11"/>
        <v>120745</v>
      </c>
      <c r="F59" s="104">
        <f>2198830*0.95</f>
        <v>2088888.5</v>
      </c>
      <c r="G59" s="109" t="s">
        <v>30</v>
      </c>
      <c r="I59" s="33"/>
    </row>
    <row r="60" spans="1:9">
      <c r="A60" s="27" t="s">
        <v>84</v>
      </c>
      <c r="B60" s="11">
        <v>20</v>
      </c>
      <c r="C60" s="104">
        <f t="shared" si="10"/>
        <v>115045</v>
      </c>
      <c r="D60" s="104">
        <f>2422000*0.95</f>
        <v>2300900</v>
      </c>
      <c r="E60" s="104">
        <f t="shared" si="11"/>
        <v>115995</v>
      </c>
      <c r="F60" s="104">
        <f>2442000*0.95</f>
        <v>2319900</v>
      </c>
      <c r="G60" s="109" t="s">
        <v>30</v>
      </c>
      <c r="I60" s="33"/>
    </row>
    <row r="61" spans="1:9">
      <c r="A61" s="26" t="s">
        <v>84</v>
      </c>
      <c r="B61" s="11">
        <v>20.3</v>
      </c>
      <c r="C61" s="104">
        <f t="shared" si="10"/>
        <v>115045</v>
      </c>
      <c r="D61" s="104">
        <f>2458330*0.95</f>
        <v>2335413.5</v>
      </c>
      <c r="E61" s="104">
        <f t="shared" si="11"/>
        <v>115995</v>
      </c>
      <c r="F61" s="104">
        <f>2478630*0.95</f>
        <v>2354698.5</v>
      </c>
      <c r="G61" s="109" t="s">
        <v>30</v>
      </c>
      <c r="I61" s="33"/>
    </row>
    <row r="62" spans="1:9">
      <c r="A62" s="13" t="s">
        <v>85</v>
      </c>
      <c r="B62" s="14">
        <v>42.1</v>
      </c>
      <c r="C62" s="232">
        <f t="shared" si="10"/>
        <v>88350</v>
      </c>
      <c r="D62" s="105">
        <f>3915300*0.95</f>
        <v>3719535</v>
      </c>
      <c r="E62" s="225">
        <f t="shared" si="11"/>
        <v>89300</v>
      </c>
      <c r="F62" s="105">
        <f>3957400*0.95</f>
        <v>3759530</v>
      </c>
      <c r="G62" s="111" t="s">
        <v>30</v>
      </c>
      <c r="I62" s="33"/>
    </row>
    <row r="63" spans="1:9">
      <c r="A63" s="22" t="s">
        <v>86</v>
      </c>
      <c r="B63" s="14">
        <v>46.7</v>
      </c>
      <c r="C63" s="232">
        <f t="shared" si="10"/>
        <v>87400</v>
      </c>
      <c r="D63" s="105">
        <f>4296400*0.95</f>
        <v>4081580</v>
      </c>
      <c r="E63" s="225">
        <f t="shared" si="11"/>
        <v>88350</v>
      </c>
      <c r="F63" s="105">
        <f>4343100*0.95</f>
        <v>4125945</v>
      </c>
      <c r="G63" s="111" t="s">
        <v>30</v>
      </c>
      <c r="I63" s="33"/>
    </row>
    <row r="64" spans="1:9">
      <c r="A64" s="16" t="s">
        <v>86</v>
      </c>
      <c r="B64" s="17">
        <v>57.1</v>
      </c>
      <c r="C64" s="157">
        <f t="shared" si="10"/>
        <v>78995.349999999991</v>
      </c>
      <c r="D64" s="106">
        <f>4748036.3*0.95</f>
        <v>4510634.4849999994</v>
      </c>
      <c r="E64" s="226">
        <f t="shared" si="11"/>
        <v>79945.349999999991</v>
      </c>
      <c r="F64" s="106">
        <f>4805136.3*0.95</f>
        <v>4564879.4849999994</v>
      </c>
      <c r="G64" s="113" t="s">
        <v>30</v>
      </c>
      <c r="I64" s="33"/>
    </row>
    <row r="65" spans="1:11">
      <c r="A65" s="19" t="s">
        <v>87</v>
      </c>
      <c r="B65" s="20">
        <v>17</v>
      </c>
      <c r="C65" s="108">
        <f t="shared" si="8"/>
        <v>118845</v>
      </c>
      <c r="D65" s="108">
        <v>2020365</v>
      </c>
      <c r="E65" s="108">
        <f t="shared" si="9"/>
        <v>119795</v>
      </c>
      <c r="F65" s="108">
        <v>2036515</v>
      </c>
      <c r="G65" s="21" t="s">
        <v>7</v>
      </c>
    </row>
    <row r="66" spans="1:11">
      <c r="A66" s="26" t="s">
        <v>87</v>
      </c>
      <c r="B66" s="11">
        <v>17.3</v>
      </c>
      <c r="C66" s="104">
        <f t="shared" si="8"/>
        <v>118845</v>
      </c>
      <c r="D66" s="104">
        <v>2056018.5</v>
      </c>
      <c r="E66" s="104">
        <f t="shared" si="9"/>
        <v>119795</v>
      </c>
      <c r="F66" s="104">
        <v>2072453.5</v>
      </c>
      <c r="G66" s="12" t="s">
        <v>7</v>
      </c>
    </row>
    <row r="67" spans="1:11">
      <c r="A67" s="27" t="s">
        <v>87</v>
      </c>
      <c r="B67" s="11">
        <v>20</v>
      </c>
      <c r="C67" s="104">
        <f t="shared" si="8"/>
        <v>114095</v>
      </c>
      <c r="D67" s="104">
        <v>2281900</v>
      </c>
      <c r="E67" s="104">
        <f t="shared" si="9"/>
        <v>115045</v>
      </c>
      <c r="F67" s="104">
        <v>2300900</v>
      </c>
      <c r="G67" s="12" t="s">
        <v>7</v>
      </c>
    </row>
    <row r="68" spans="1:11">
      <c r="A68" s="26" t="s">
        <v>87</v>
      </c>
      <c r="B68" s="11">
        <v>20.3</v>
      </c>
      <c r="C68" s="104">
        <f t="shared" si="8"/>
        <v>114095</v>
      </c>
      <c r="D68" s="104">
        <v>2316128.5</v>
      </c>
      <c r="E68" s="104">
        <f t="shared" si="9"/>
        <v>115045</v>
      </c>
      <c r="F68" s="104">
        <v>2335413.5</v>
      </c>
      <c r="G68" s="12" t="s">
        <v>7</v>
      </c>
    </row>
    <row r="69" spans="1:11">
      <c r="A69" s="13" t="s">
        <v>88</v>
      </c>
      <c r="B69" s="14">
        <v>42.1</v>
      </c>
      <c r="C69" s="232">
        <f t="shared" si="8"/>
        <v>87400</v>
      </c>
      <c r="D69" s="105">
        <v>3679540</v>
      </c>
      <c r="E69" s="225">
        <f t="shared" si="9"/>
        <v>88350</v>
      </c>
      <c r="F69" s="105">
        <v>3719535</v>
      </c>
      <c r="G69" s="15" t="s">
        <v>7</v>
      </c>
    </row>
    <row r="70" spans="1:11">
      <c r="A70" s="22" t="s">
        <v>89</v>
      </c>
      <c r="B70" s="14">
        <v>46.7</v>
      </c>
      <c r="C70" s="232">
        <f t="shared" si="8"/>
        <v>86450</v>
      </c>
      <c r="D70" s="105">
        <v>4037215</v>
      </c>
      <c r="E70" s="225">
        <f t="shared" si="9"/>
        <v>87400</v>
      </c>
      <c r="F70" s="105">
        <v>4081580</v>
      </c>
      <c r="G70" s="15" t="s">
        <v>7</v>
      </c>
    </row>
    <row r="71" spans="1:11">
      <c r="A71" s="16" t="s">
        <v>89</v>
      </c>
      <c r="B71" s="17">
        <v>57.1</v>
      </c>
      <c r="C71" s="157">
        <f t="shared" si="8"/>
        <v>78045.350000000006</v>
      </c>
      <c r="D71" s="106">
        <v>4456389.4850000003</v>
      </c>
      <c r="E71" s="226">
        <f t="shared" si="9"/>
        <v>78995.350000000006</v>
      </c>
      <c r="F71" s="106">
        <v>4510634.4850000003</v>
      </c>
      <c r="G71" s="18" t="s">
        <v>7</v>
      </c>
    </row>
    <row r="73" spans="1:11" ht="19.5" thickBot="1">
      <c r="A73" s="164" t="s">
        <v>135</v>
      </c>
      <c r="B73" s="1"/>
      <c r="C73" s="1"/>
      <c r="D73" s="1"/>
      <c r="E73" s="4"/>
      <c r="F73" s="4"/>
      <c r="G73" s="4"/>
    </row>
    <row r="74" spans="1:11" ht="45">
      <c r="A74" s="5" t="s">
        <v>21</v>
      </c>
      <c r="B74" s="6" t="s">
        <v>72</v>
      </c>
      <c r="C74" s="7" t="s">
        <v>73</v>
      </c>
      <c r="D74" s="8" t="s">
        <v>74</v>
      </c>
      <c r="E74" s="7" t="s">
        <v>75</v>
      </c>
      <c r="F74" s="7" t="s">
        <v>74</v>
      </c>
      <c r="G74" s="9" t="s">
        <v>76</v>
      </c>
    </row>
    <row r="75" spans="1:11">
      <c r="A75" s="10" t="s">
        <v>77</v>
      </c>
      <c r="B75" s="11">
        <v>20.67</v>
      </c>
      <c r="C75" s="104">
        <f>D75/B75</f>
        <v>124655</v>
      </c>
      <c r="D75" s="104">
        <v>2576618.85</v>
      </c>
      <c r="E75" s="105"/>
      <c r="F75" s="105"/>
      <c r="G75" s="12" t="s">
        <v>7</v>
      </c>
      <c r="K75" s="241"/>
    </row>
    <row r="76" spans="1:11" ht="15.75" thickBot="1">
      <c r="A76" s="114" t="s">
        <v>90</v>
      </c>
      <c r="B76" s="115">
        <v>52.97</v>
      </c>
      <c r="C76" s="116">
        <f t="shared" ref="C76:C107" si="12">D76/B76</f>
        <v>87903.710000000021</v>
      </c>
      <c r="D76" s="116">
        <v>4656259.5187000008</v>
      </c>
      <c r="E76" s="106"/>
      <c r="F76" s="106"/>
      <c r="G76" s="117" t="s">
        <v>7</v>
      </c>
      <c r="K76" s="241"/>
    </row>
    <row r="77" spans="1:11">
      <c r="A77" s="120" t="s">
        <v>91</v>
      </c>
      <c r="B77" s="20">
        <v>38.25</v>
      </c>
      <c r="C77" s="108">
        <f t="shared" si="12"/>
        <v>104325</v>
      </c>
      <c r="D77" s="108">
        <v>3990431.25</v>
      </c>
      <c r="E77" s="155"/>
      <c r="F77" s="155"/>
      <c r="G77" s="110" t="s">
        <v>7</v>
      </c>
      <c r="K77" s="241"/>
    </row>
    <row r="78" spans="1:11" ht="15.75" thickBot="1">
      <c r="A78" s="121" t="s">
        <v>91</v>
      </c>
      <c r="B78" s="115">
        <v>40.89</v>
      </c>
      <c r="C78" s="116">
        <f t="shared" si="12"/>
        <v>100580</v>
      </c>
      <c r="D78" s="116">
        <v>4112716.2</v>
      </c>
      <c r="E78" s="106"/>
      <c r="F78" s="106"/>
      <c r="G78" s="119" t="s">
        <v>7</v>
      </c>
      <c r="K78" s="241"/>
    </row>
    <row r="79" spans="1:11">
      <c r="A79" s="22" t="s">
        <v>78</v>
      </c>
      <c r="B79" s="23">
        <v>38.25</v>
      </c>
      <c r="C79" s="156">
        <f t="shared" si="12"/>
        <v>104325</v>
      </c>
      <c r="D79" s="107">
        <v>3990431.25</v>
      </c>
      <c r="E79" s="223">
        <f>F79/B79</f>
        <v>105395.00000000001</v>
      </c>
      <c r="F79" s="107">
        <v>4031358.7500000005</v>
      </c>
      <c r="G79" s="25" t="s">
        <v>30</v>
      </c>
      <c r="K79" s="241"/>
    </row>
    <row r="80" spans="1:11">
      <c r="A80" s="13" t="s">
        <v>79</v>
      </c>
      <c r="B80" s="14">
        <v>43.2</v>
      </c>
      <c r="C80" s="232">
        <f t="shared" si="12"/>
        <v>98440.000000000015</v>
      </c>
      <c r="D80" s="105">
        <v>4252608.0000000009</v>
      </c>
      <c r="E80" s="225">
        <f t="shared" ref="E80:E107" si="13">F80/B80</f>
        <v>99510.000000000015</v>
      </c>
      <c r="F80" s="105">
        <v>4298832.0000000009</v>
      </c>
      <c r="G80" s="15" t="s">
        <v>30</v>
      </c>
      <c r="K80" s="241"/>
    </row>
    <row r="81" spans="1:11">
      <c r="A81" s="13" t="s">
        <v>79</v>
      </c>
      <c r="B81" s="14">
        <v>45.32</v>
      </c>
      <c r="C81" s="232">
        <f t="shared" si="12"/>
        <v>97370.000000000015</v>
      </c>
      <c r="D81" s="105">
        <v>4412808.4000000004</v>
      </c>
      <c r="E81" s="225">
        <f t="shared" si="13"/>
        <v>98440</v>
      </c>
      <c r="F81" s="105">
        <v>4461300.8</v>
      </c>
      <c r="G81" s="15" t="s">
        <v>30</v>
      </c>
      <c r="K81" s="241"/>
    </row>
    <row r="82" spans="1:11">
      <c r="A82" s="13" t="s">
        <v>79</v>
      </c>
      <c r="B82" s="14">
        <v>48.45</v>
      </c>
      <c r="C82" s="232">
        <f t="shared" si="12"/>
        <v>93933.160000000018</v>
      </c>
      <c r="D82" s="105">
        <v>4551061.6020000009</v>
      </c>
      <c r="E82" s="225">
        <f t="shared" si="13"/>
        <v>95003.160000000018</v>
      </c>
      <c r="F82" s="105">
        <v>4602903.1020000009</v>
      </c>
      <c r="G82" s="15" t="s">
        <v>30</v>
      </c>
      <c r="K82" s="241"/>
    </row>
    <row r="83" spans="1:11" ht="15.75" thickBot="1">
      <c r="A83" s="16" t="s">
        <v>79</v>
      </c>
      <c r="B83" s="17">
        <v>55.52</v>
      </c>
      <c r="C83" s="157">
        <f t="shared" si="12"/>
        <v>87903.71</v>
      </c>
      <c r="D83" s="106">
        <v>4880413.9792000009</v>
      </c>
      <c r="E83" s="226">
        <f t="shared" si="13"/>
        <v>88973.710000000021</v>
      </c>
      <c r="F83" s="106">
        <v>4939820.3792000012</v>
      </c>
      <c r="G83" s="18" t="s">
        <v>30</v>
      </c>
      <c r="K83" s="241"/>
    </row>
    <row r="84" spans="1:11">
      <c r="A84" s="19" t="s">
        <v>80</v>
      </c>
      <c r="B84" s="20">
        <v>18.95</v>
      </c>
      <c r="C84" s="108">
        <f t="shared" si="12"/>
        <v>127865</v>
      </c>
      <c r="D84" s="104">
        <v>2423041.75</v>
      </c>
      <c r="E84" s="108">
        <f t="shared" si="13"/>
        <v>128935</v>
      </c>
      <c r="F84" s="108">
        <v>2443318.25</v>
      </c>
      <c r="G84" s="110" t="s">
        <v>30</v>
      </c>
      <c r="K84" s="241"/>
    </row>
    <row r="85" spans="1:11">
      <c r="A85" s="10" t="s">
        <v>80</v>
      </c>
      <c r="B85" s="11">
        <v>20.67</v>
      </c>
      <c r="C85" s="104">
        <f t="shared" si="12"/>
        <v>124655</v>
      </c>
      <c r="D85" s="104">
        <v>2576618.85</v>
      </c>
      <c r="E85" s="104">
        <f t="shared" si="13"/>
        <v>125724.99999999999</v>
      </c>
      <c r="F85" s="104">
        <v>2598735.75</v>
      </c>
      <c r="G85" s="109" t="s">
        <v>30</v>
      </c>
      <c r="K85" s="241"/>
    </row>
    <row r="86" spans="1:11">
      <c r="A86" s="22" t="s">
        <v>81</v>
      </c>
      <c r="B86" s="23">
        <v>34.630000000000003</v>
      </c>
      <c r="C86" s="156">
        <f t="shared" si="12"/>
        <v>108288.28000000001</v>
      </c>
      <c r="D86" s="105">
        <v>3750023.1364000007</v>
      </c>
      <c r="E86" s="223">
        <f t="shared" si="13"/>
        <v>109358.28000000001</v>
      </c>
      <c r="F86" s="105">
        <v>3787077.2364000008</v>
      </c>
      <c r="G86" s="111" t="s">
        <v>30</v>
      </c>
      <c r="K86" s="241"/>
    </row>
    <row r="87" spans="1:11">
      <c r="A87" s="13" t="s">
        <v>82</v>
      </c>
      <c r="B87" s="14">
        <v>38.25</v>
      </c>
      <c r="C87" s="232">
        <f t="shared" si="12"/>
        <v>104325</v>
      </c>
      <c r="D87" s="105">
        <v>3990431.25</v>
      </c>
      <c r="E87" s="225">
        <f t="shared" si="13"/>
        <v>105395.00000000001</v>
      </c>
      <c r="F87" s="105">
        <v>4031358.7500000005</v>
      </c>
      <c r="G87" s="111" t="s">
        <v>30</v>
      </c>
      <c r="K87" s="241"/>
    </row>
    <row r="88" spans="1:11">
      <c r="A88" s="24" t="s">
        <v>81</v>
      </c>
      <c r="B88" s="14">
        <v>39</v>
      </c>
      <c r="C88" s="232">
        <f t="shared" si="12"/>
        <v>104083.18000000001</v>
      </c>
      <c r="D88" s="105">
        <v>4059244.02</v>
      </c>
      <c r="E88" s="232">
        <f t="shared" si="13"/>
        <v>105153.18000000001</v>
      </c>
      <c r="F88" s="105">
        <v>4100974.02</v>
      </c>
      <c r="G88" s="111" t="s">
        <v>30</v>
      </c>
      <c r="K88" s="241"/>
    </row>
    <row r="89" spans="1:11">
      <c r="A89" s="22" t="s">
        <v>83</v>
      </c>
      <c r="B89" s="23">
        <v>40.89</v>
      </c>
      <c r="C89" s="156">
        <f t="shared" si="12"/>
        <v>100580</v>
      </c>
      <c r="D89" s="107">
        <v>4112716.2</v>
      </c>
      <c r="E89" s="223">
        <f t="shared" si="13"/>
        <v>101650.00000000001</v>
      </c>
      <c r="F89" s="107">
        <v>4156468.5000000005</v>
      </c>
      <c r="G89" s="112" t="s">
        <v>30</v>
      </c>
      <c r="K89" s="241"/>
    </row>
    <row r="90" spans="1:11">
      <c r="A90" s="13" t="s">
        <v>83</v>
      </c>
      <c r="B90" s="14">
        <v>43.2</v>
      </c>
      <c r="C90" s="232">
        <f t="shared" si="12"/>
        <v>98440.000000000015</v>
      </c>
      <c r="D90" s="105">
        <v>4252608.0000000009</v>
      </c>
      <c r="E90" s="225">
        <f t="shared" si="13"/>
        <v>99510.000000000015</v>
      </c>
      <c r="F90" s="105">
        <v>4298832.0000000009</v>
      </c>
      <c r="G90" s="111" t="s">
        <v>30</v>
      </c>
      <c r="K90" s="241"/>
    </row>
    <row r="91" spans="1:11">
      <c r="A91" s="13" t="s">
        <v>83</v>
      </c>
      <c r="B91" s="14">
        <v>45.32</v>
      </c>
      <c r="C91" s="232">
        <f t="shared" si="12"/>
        <v>97370.000000000015</v>
      </c>
      <c r="D91" s="105">
        <v>4412808.4000000004</v>
      </c>
      <c r="E91" s="225">
        <f t="shared" si="13"/>
        <v>98440</v>
      </c>
      <c r="F91" s="105">
        <v>4461300.8</v>
      </c>
      <c r="G91" s="111" t="s">
        <v>30</v>
      </c>
      <c r="K91" s="241"/>
    </row>
    <row r="92" spans="1:11">
      <c r="A92" s="13" t="s">
        <v>83</v>
      </c>
      <c r="B92" s="14">
        <v>48.45</v>
      </c>
      <c r="C92" s="232">
        <f t="shared" si="12"/>
        <v>93933.160000000018</v>
      </c>
      <c r="D92" s="105">
        <v>4551061.6020000009</v>
      </c>
      <c r="E92" s="225">
        <f t="shared" si="13"/>
        <v>95003.160000000018</v>
      </c>
      <c r="F92" s="105">
        <v>4602903.1020000009</v>
      </c>
      <c r="G92" s="111" t="s">
        <v>30</v>
      </c>
      <c r="K92" s="241"/>
    </row>
    <row r="93" spans="1:11" ht="15.75" thickBot="1">
      <c r="A93" s="16" t="s">
        <v>83</v>
      </c>
      <c r="B93" s="17">
        <v>55.52</v>
      </c>
      <c r="C93" s="157">
        <f t="shared" si="12"/>
        <v>87903.71</v>
      </c>
      <c r="D93" s="106">
        <v>4880413.9792000009</v>
      </c>
      <c r="E93" s="226">
        <f t="shared" si="13"/>
        <v>88973.710000000021</v>
      </c>
      <c r="F93" s="106">
        <v>4939820.3792000012</v>
      </c>
      <c r="G93" s="113" t="s">
        <v>30</v>
      </c>
      <c r="K93" s="241"/>
    </row>
    <row r="94" spans="1:11">
      <c r="A94" s="19" t="s">
        <v>84</v>
      </c>
      <c r="B94" s="20">
        <v>17</v>
      </c>
      <c r="C94" s="108">
        <f t="shared" si="12"/>
        <v>134927</v>
      </c>
      <c r="D94" s="108">
        <v>2293759</v>
      </c>
      <c r="E94" s="108">
        <f t="shared" si="13"/>
        <v>135997</v>
      </c>
      <c r="F94" s="108">
        <v>2311949</v>
      </c>
      <c r="G94" s="110" t="s">
        <v>30</v>
      </c>
      <c r="K94" s="241"/>
    </row>
    <row r="95" spans="1:11">
      <c r="A95" s="26" t="s">
        <v>84</v>
      </c>
      <c r="B95" s="11">
        <v>17.3</v>
      </c>
      <c r="C95" s="104">
        <f t="shared" si="12"/>
        <v>134927</v>
      </c>
      <c r="D95" s="104">
        <v>2334237.1</v>
      </c>
      <c r="E95" s="104">
        <f t="shared" si="13"/>
        <v>135997</v>
      </c>
      <c r="F95" s="104">
        <v>2352748.1</v>
      </c>
      <c r="G95" s="109" t="s">
        <v>30</v>
      </c>
      <c r="K95" s="241"/>
    </row>
    <row r="96" spans="1:11">
      <c r="A96" s="27" t="s">
        <v>84</v>
      </c>
      <c r="B96" s="11">
        <v>20</v>
      </c>
      <c r="C96" s="104">
        <f t="shared" si="12"/>
        <v>129577</v>
      </c>
      <c r="D96" s="104">
        <v>2591540</v>
      </c>
      <c r="E96" s="104">
        <f t="shared" si="13"/>
        <v>130647</v>
      </c>
      <c r="F96" s="104">
        <v>2612940</v>
      </c>
      <c r="G96" s="109" t="s">
        <v>30</v>
      </c>
      <c r="K96" s="241"/>
    </row>
    <row r="97" spans="1:11">
      <c r="A97" s="26" t="s">
        <v>84</v>
      </c>
      <c r="B97" s="11">
        <v>20.3</v>
      </c>
      <c r="C97" s="104">
        <f t="shared" si="12"/>
        <v>129577</v>
      </c>
      <c r="D97" s="104">
        <v>2630413.1</v>
      </c>
      <c r="E97" s="104">
        <f t="shared" si="13"/>
        <v>130647</v>
      </c>
      <c r="F97" s="104">
        <v>2652134.1</v>
      </c>
      <c r="G97" s="109" t="s">
        <v>30</v>
      </c>
      <c r="K97" s="241"/>
    </row>
    <row r="98" spans="1:11">
      <c r="A98" s="13" t="s">
        <v>85</v>
      </c>
      <c r="B98" s="14">
        <v>42.1</v>
      </c>
      <c r="C98" s="232">
        <f t="shared" si="12"/>
        <v>99510.000000000015</v>
      </c>
      <c r="D98" s="105">
        <v>4189371.0000000005</v>
      </c>
      <c r="E98" s="225">
        <f t="shared" si="13"/>
        <v>100580</v>
      </c>
      <c r="F98" s="105">
        <v>4234418</v>
      </c>
      <c r="G98" s="111" t="s">
        <v>30</v>
      </c>
      <c r="K98" s="241"/>
    </row>
    <row r="99" spans="1:11">
      <c r="A99" s="22" t="s">
        <v>86</v>
      </c>
      <c r="B99" s="14">
        <v>46.7</v>
      </c>
      <c r="C99" s="232">
        <f t="shared" si="12"/>
        <v>98440</v>
      </c>
      <c r="D99" s="105">
        <v>4597148</v>
      </c>
      <c r="E99" s="225">
        <f t="shared" si="13"/>
        <v>99510</v>
      </c>
      <c r="F99" s="105">
        <v>4647117</v>
      </c>
      <c r="G99" s="111" t="s">
        <v>30</v>
      </c>
      <c r="K99" s="241"/>
    </row>
    <row r="100" spans="1:11" ht="15.75" thickBot="1">
      <c r="A100" s="16" t="s">
        <v>86</v>
      </c>
      <c r="B100" s="17">
        <v>57.1</v>
      </c>
      <c r="C100" s="157">
        <f t="shared" si="12"/>
        <v>88973.709999999992</v>
      </c>
      <c r="D100" s="106">
        <v>5080398.841</v>
      </c>
      <c r="E100" s="226">
        <f t="shared" si="13"/>
        <v>90043.709999999992</v>
      </c>
      <c r="F100" s="106">
        <v>5141495.841</v>
      </c>
      <c r="G100" s="113" t="s">
        <v>30</v>
      </c>
      <c r="K100" s="241"/>
    </row>
    <row r="101" spans="1:11">
      <c r="A101" s="19" t="s">
        <v>87</v>
      </c>
      <c r="B101" s="20">
        <v>17</v>
      </c>
      <c r="C101" s="108">
        <f t="shared" si="12"/>
        <v>133857</v>
      </c>
      <c r="D101" s="108">
        <v>2275569</v>
      </c>
      <c r="E101" s="108">
        <f t="shared" si="13"/>
        <v>134927</v>
      </c>
      <c r="F101" s="108">
        <v>2293759</v>
      </c>
      <c r="G101" s="21" t="s">
        <v>7</v>
      </c>
      <c r="K101" s="241"/>
    </row>
    <row r="102" spans="1:11">
      <c r="A102" s="26" t="s">
        <v>87</v>
      </c>
      <c r="B102" s="11">
        <v>17.3</v>
      </c>
      <c r="C102" s="104">
        <f t="shared" si="12"/>
        <v>133857</v>
      </c>
      <c r="D102" s="104">
        <v>2315726.1</v>
      </c>
      <c r="E102" s="104">
        <f t="shared" si="13"/>
        <v>134927</v>
      </c>
      <c r="F102" s="104">
        <v>2334237.1</v>
      </c>
      <c r="G102" s="12" t="s">
        <v>7</v>
      </c>
      <c r="K102" s="241"/>
    </row>
    <row r="103" spans="1:11">
      <c r="A103" s="27" t="s">
        <v>87</v>
      </c>
      <c r="B103" s="11">
        <v>20</v>
      </c>
      <c r="C103" s="104">
        <f t="shared" si="12"/>
        <v>128507</v>
      </c>
      <c r="D103" s="104">
        <v>2570140</v>
      </c>
      <c r="E103" s="104">
        <f t="shared" si="13"/>
        <v>129577</v>
      </c>
      <c r="F103" s="104">
        <v>2591540</v>
      </c>
      <c r="G103" s="12" t="s">
        <v>7</v>
      </c>
      <c r="K103" s="241"/>
    </row>
    <row r="104" spans="1:11">
      <c r="A104" s="26" t="s">
        <v>87</v>
      </c>
      <c r="B104" s="11">
        <v>20.3</v>
      </c>
      <c r="C104" s="104">
        <f t="shared" si="12"/>
        <v>128507</v>
      </c>
      <c r="D104" s="104">
        <v>2608692.1</v>
      </c>
      <c r="E104" s="104">
        <f t="shared" si="13"/>
        <v>129577</v>
      </c>
      <c r="F104" s="104">
        <v>2630413.1</v>
      </c>
      <c r="G104" s="12" t="s">
        <v>7</v>
      </c>
      <c r="K104" s="241"/>
    </row>
    <row r="105" spans="1:11">
      <c r="A105" s="13" t="s">
        <v>88</v>
      </c>
      <c r="B105" s="14">
        <v>42.1</v>
      </c>
      <c r="C105" s="232">
        <f t="shared" si="12"/>
        <v>98440.000000000015</v>
      </c>
      <c r="D105" s="105">
        <v>4144324.0000000005</v>
      </c>
      <c r="E105" s="225">
        <f t="shared" si="13"/>
        <v>99510.000000000015</v>
      </c>
      <c r="F105" s="105">
        <v>4189371.0000000005</v>
      </c>
      <c r="G105" s="15" t="s">
        <v>7</v>
      </c>
      <c r="K105" s="241"/>
    </row>
    <row r="106" spans="1:11">
      <c r="A106" s="22" t="s">
        <v>89</v>
      </c>
      <c r="B106" s="14">
        <v>46.7</v>
      </c>
      <c r="C106" s="232">
        <f t="shared" si="12"/>
        <v>97370</v>
      </c>
      <c r="D106" s="105">
        <v>4547179</v>
      </c>
      <c r="E106" s="225">
        <f t="shared" si="13"/>
        <v>98440</v>
      </c>
      <c r="F106" s="105">
        <v>4597148</v>
      </c>
      <c r="G106" s="15" t="s">
        <v>7</v>
      </c>
      <c r="K106" s="241"/>
    </row>
    <row r="107" spans="1:11" ht="15.75" thickBot="1">
      <c r="A107" s="16" t="s">
        <v>89</v>
      </c>
      <c r="B107" s="17">
        <v>57.1</v>
      </c>
      <c r="C107" s="157">
        <f t="shared" si="12"/>
        <v>87903.709999999992</v>
      </c>
      <c r="D107" s="106">
        <v>5019301.841</v>
      </c>
      <c r="E107" s="226">
        <f t="shared" si="13"/>
        <v>88973.709999999992</v>
      </c>
      <c r="F107" s="106">
        <v>5080398.841</v>
      </c>
      <c r="G107" s="18" t="s">
        <v>7</v>
      </c>
      <c r="K107" s="241"/>
    </row>
  </sheetData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3"/>
  <sheetViews>
    <sheetView workbookViewId="0">
      <selection activeCell="F18" sqref="F18"/>
    </sheetView>
  </sheetViews>
  <sheetFormatPr defaultColWidth="9" defaultRowHeight="15"/>
  <cols>
    <col min="1" max="1" width="39" customWidth="1"/>
    <col min="2" max="3" width="15.7109375" customWidth="1"/>
    <col min="4" max="4" width="17.5703125" customWidth="1"/>
    <col min="5" max="5" width="15.7109375" customWidth="1"/>
    <col min="6" max="9" width="18.42578125" customWidth="1"/>
    <col min="10" max="10" width="19" customWidth="1"/>
    <col min="11" max="12" width="15.7109375" customWidth="1"/>
    <col min="13" max="13" width="14" customWidth="1"/>
    <col min="15" max="15" width="44" customWidth="1"/>
  </cols>
  <sheetData>
    <row r="1" spans="1:11" s="1" customFormat="1" ht="19.5" thickBot="1">
      <c r="A1" s="163" t="s">
        <v>116</v>
      </c>
    </row>
    <row r="2" spans="1:11" ht="106.5" customHeight="1">
      <c r="A2" s="84" t="s">
        <v>0</v>
      </c>
      <c r="B2" s="85" t="s">
        <v>1</v>
      </c>
      <c r="C2" s="85" t="s">
        <v>2</v>
      </c>
      <c r="D2" s="85" t="s">
        <v>97</v>
      </c>
      <c r="E2" s="86" t="s">
        <v>20</v>
      </c>
      <c r="F2" s="86" t="s">
        <v>129</v>
      </c>
      <c r="G2" s="86" t="s">
        <v>111</v>
      </c>
      <c r="H2" s="86" t="s">
        <v>112</v>
      </c>
      <c r="I2" s="86" t="s">
        <v>113</v>
      </c>
      <c r="J2" s="87" t="s">
        <v>3</v>
      </c>
    </row>
    <row r="3" spans="1:11" ht="32.25" thickBot="1">
      <c r="A3" s="88" t="s">
        <v>4</v>
      </c>
      <c r="B3" s="89" t="s">
        <v>5</v>
      </c>
      <c r="C3" s="89" t="s">
        <v>6</v>
      </c>
      <c r="D3" s="122">
        <f>5465000-250000</f>
        <v>5215000</v>
      </c>
      <c r="E3" s="123">
        <f t="shared" ref="E3:E9" si="0">D3*0.95</f>
        <v>4954250</v>
      </c>
      <c r="F3" s="123">
        <f>D3*1.07</f>
        <v>5580050</v>
      </c>
      <c r="G3" s="123">
        <f>D3*1.135</f>
        <v>5919025</v>
      </c>
      <c r="H3" s="123">
        <f>D3*1.115</f>
        <v>5814725</v>
      </c>
      <c r="I3" s="123">
        <f>D3*1.08</f>
        <v>5632200</v>
      </c>
      <c r="J3" s="90" t="s">
        <v>7</v>
      </c>
      <c r="K3" s="57" t="s">
        <v>95</v>
      </c>
    </row>
    <row r="4" spans="1:11" ht="30">
      <c r="A4" s="91" t="s">
        <v>8</v>
      </c>
      <c r="B4" s="92" t="s">
        <v>9</v>
      </c>
      <c r="C4" s="92" t="s">
        <v>10</v>
      </c>
      <c r="D4" s="124">
        <f>7742500-250000</f>
        <v>7492500</v>
      </c>
      <c r="E4" s="125">
        <f t="shared" si="0"/>
        <v>7117875</v>
      </c>
      <c r="F4" s="125">
        <f t="shared" ref="F4:F13" si="1">D4*1.07</f>
        <v>8016975</v>
      </c>
      <c r="G4" s="125">
        <f t="shared" ref="G4:G13" si="2">D4*1.135</f>
        <v>8503987.5</v>
      </c>
      <c r="H4" s="125">
        <f t="shared" ref="H4:H13" si="3">D4*1.115</f>
        <v>8354137.5</v>
      </c>
      <c r="I4" s="125">
        <f t="shared" ref="I4:I13" si="4">D4*1.08</f>
        <v>8091900.0000000009</v>
      </c>
      <c r="J4" s="93" t="s">
        <v>7</v>
      </c>
      <c r="K4" s="57" t="s">
        <v>95</v>
      </c>
    </row>
    <row r="5" spans="1:11" ht="30.75" thickBot="1">
      <c r="A5" s="94" t="s">
        <v>8</v>
      </c>
      <c r="B5" s="95" t="s">
        <v>9</v>
      </c>
      <c r="C5" s="95" t="s">
        <v>11</v>
      </c>
      <c r="D5" s="126">
        <f>7885000-250000</f>
        <v>7635000</v>
      </c>
      <c r="E5" s="127">
        <f t="shared" si="0"/>
        <v>7253250</v>
      </c>
      <c r="F5" s="127">
        <f t="shared" si="1"/>
        <v>8169450.0000000009</v>
      </c>
      <c r="G5" s="127">
        <f t="shared" si="2"/>
        <v>8665725</v>
      </c>
      <c r="H5" s="127">
        <f t="shared" si="3"/>
        <v>8513025</v>
      </c>
      <c r="I5" s="127">
        <f t="shared" si="4"/>
        <v>8245800.0000000009</v>
      </c>
      <c r="J5" s="96" t="s">
        <v>7</v>
      </c>
      <c r="K5" s="57" t="s">
        <v>95</v>
      </c>
    </row>
    <row r="6" spans="1:11" ht="15.75">
      <c r="A6" s="97" t="s">
        <v>12</v>
      </c>
      <c r="B6" s="92" t="s">
        <v>9</v>
      </c>
      <c r="C6" s="92" t="s">
        <v>10</v>
      </c>
      <c r="D6" s="124">
        <f>6175000-250000</f>
        <v>5925000</v>
      </c>
      <c r="E6" s="125">
        <f t="shared" si="0"/>
        <v>5628750</v>
      </c>
      <c r="F6" s="125">
        <f t="shared" si="1"/>
        <v>6339750</v>
      </c>
      <c r="G6" s="125">
        <f t="shared" si="2"/>
        <v>6724875</v>
      </c>
      <c r="H6" s="125">
        <f t="shared" si="3"/>
        <v>6606375</v>
      </c>
      <c r="I6" s="125">
        <f t="shared" si="4"/>
        <v>6399000</v>
      </c>
      <c r="J6" s="98" t="s">
        <v>13</v>
      </c>
      <c r="K6" s="57" t="s">
        <v>95</v>
      </c>
    </row>
    <row r="7" spans="1:11" ht="15.75">
      <c r="A7" s="99" t="s">
        <v>14</v>
      </c>
      <c r="B7" s="92" t="s">
        <v>9</v>
      </c>
      <c r="C7" s="100" t="s">
        <v>11</v>
      </c>
      <c r="D7" s="128">
        <f>6317500-250000</f>
        <v>6067500</v>
      </c>
      <c r="E7" s="129">
        <f t="shared" si="0"/>
        <v>5764125</v>
      </c>
      <c r="F7" s="129">
        <f t="shared" si="1"/>
        <v>6492225</v>
      </c>
      <c r="G7" s="129">
        <f t="shared" si="2"/>
        <v>6886612.5</v>
      </c>
      <c r="H7" s="129">
        <f t="shared" si="3"/>
        <v>6765262.5</v>
      </c>
      <c r="I7" s="129">
        <f t="shared" si="4"/>
        <v>6552900</v>
      </c>
      <c r="J7" s="101" t="s">
        <v>13</v>
      </c>
      <c r="K7" s="57" t="s">
        <v>95</v>
      </c>
    </row>
    <row r="8" spans="1:11" ht="15.75">
      <c r="A8" s="91" t="s">
        <v>15</v>
      </c>
      <c r="B8" s="92" t="s">
        <v>9</v>
      </c>
      <c r="C8" s="92" t="s">
        <v>10</v>
      </c>
      <c r="D8" s="124">
        <f>6175000-250000</f>
        <v>5925000</v>
      </c>
      <c r="E8" s="125">
        <f t="shared" si="0"/>
        <v>5628750</v>
      </c>
      <c r="F8" s="125">
        <f t="shared" si="1"/>
        <v>6339750</v>
      </c>
      <c r="G8" s="125">
        <f t="shared" si="2"/>
        <v>6724875</v>
      </c>
      <c r="H8" s="125">
        <f t="shared" si="3"/>
        <v>6606375</v>
      </c>
      <c r="I8" s="125">
        <f t="shared" si="4"/>
        <v>6399000</v>
      </c>
      <c r="J8" s="93" t="s">
        <v>13</v>
      </c>
      <c r="K8" s="57" t="s">
        <v>95</v>
      </c>
    </row>
    <row r="9" spans="1:11" ht="16.5" thickBot="1">
      <c r="A9" s="88" t="s">
        <v>15</v>
      </c>
      <c r="B9" s="89" t="s">
        <v>9</v>
      </c>
      <c r="C9" s="89" t="s">
        <v>11</v>
      </c>
      <c r="D9" s="130">
        <f>6317500-250000</f>
        <v>6067500</v>
      </c>
      <c r="E9" s="131">
        <f t="shared" si="0"/>
        <v>5764125</v>
      </c>
      <c r="F9" s="131">
        <f t="shared" si="1"/>
        <v>6492225</v>
      </c>
      <c r="G9" s="131">
        <f t="shared" si="2"/>
        <v>6886612.5</v>
      </c>
      <c r="H9" s="131">
        <f t="shared" si="3"/>
        <v>6765262.5</v>
      </c>
      <c r="I9" s="131">
        <f t="shared" si="4"/>
        <v>6552900</v>
      </c>
      <c r="J9" s="90" t="s">
        <v>13</v>
      </c>
      <c r="K9" s="57" t="s">
        <v>95</v>
      </c>
    </row>
    <row r="10" spans="1:11" ht="15.75" thickBot="1">
      <c r="D10" s="132"/>
      <c r="E10" s="132"/>
      <c r="F10" s="132">
        <f t="shared" si="1"/>
        <v>0</v>
      </c>
      <c r="G10" s="132"/>
      <c r="H10" s="132"/>
      <c r="I10" s="132"/>
      <c r="J10" s="102"/>
    </row>
    <row r="11" spans="1:11" ht="36" customHeight="1">
      <c r="A11" s="97" t="s">
        <v>16</v>
      </c>
      <c r="B11" s="103" t="s">
        <v>5</v>
      </c>
      <c r="C11" s="103" t="s">
        <v>6</v>
      </c>
      <c r="D11" s="133">
        <v>5900000</v>
      </c>
      <c r="E11" s="134">
        <f>D11*0.95</f>
        <v>5605000</v>
      </c>
      <c r="F11" s="134">
        <f t="shared" si="1"/>
        <v>6313000</v>
      </c>
      <c r="G11" s="134">
        <f t="shared" si="2"/>
        <v>6696500</v>
      </c>
      <c r="H11" s="134">
        <f t="shared" si="3"/>
        <v>6578500</v>
      </c>
      <c r="I11" s="134">
        <f t="shared" si="4"/>
        <v>6372000</v>
      </c>
      <c r="J11" s="98" t="s">
        <v>17</v>
      </c>
    </row>
    <row r="12" spans="1:11" ht="36" customHeight="1">
      <c r="A12" s="91" t="s">
        <v>18</v>
      </c>
      <c r="B12" s="92" t="s">
        <v>5</v>
      </c>
      <c r="C12" s="92" t="s">
        <v>6</v>
      </c>
      <c r="D12" s="135">
        <v>5900000</v>
      </c>
      <c r="E12" s="136">
        <f>D12*0.95</f>
        <v>5605000</v>
      </c>
      <c r="F12" s="136">
        <f t="shared" si="1"/>
        <v>6313000</v>
      </c>
      <c r="G12" s="136">
        <f t="shared" si="2"/>
        <v>6696500</v>
      </c>
      <c r="H12" s="136">
        <f t="shared" si="3"/>
        <v>6578500</v>
      </c>
      <c r="I12" s="136">
        <f t="shared" si="4"/>
        <v>6372000</v>
      </c>
      <c r="J12" s="93" t="s">
        <v>17</v>
      </c>
    </row>
    <row r="13" spans="1:11" ht="36" customHeight="1" thickBot="1">
      <c r="A13" s="94" t="s">
        <v>19</v>
      </c>
      <c r="B13" s="95" t="s">
        <v>9</v>
      </c>
      <c r="C13" s="95" t="s">
        <v>11</v>
      </c>
      <c r="D13" s="126">
        <v>8407500</v>
      </c>
      <c r="E13" s="127">
        <f>D13*0.95</f>
        <v>7987125</v>
      </c>
      <c r="F13" s="127">
        <f t="shared" si="1"/>
        <v>8996025</v>
      </c>
      <c r="G13" s="127">
        <f t="shared" si="2"/>
        <v>9542512.5</v>
      </c>
      <c r="H13" s="127">
        <f t="shared" si="3"/>
        <v>9374362.5</v>
      </c>
      <c r="I13" s="127">
        <f t="shared" si="4"/>
        <v>9080100</v>
      </c>
      <c r="J13" s="96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2"/>
  <sheetViews>
    <sheetView topLeftCell="A70" zoomScale="90" zoomScaleNormal="90" workbookViewId="0">
      <selection activeCell="A64" sqref="A64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4" max="14" width="11.85546875" customWidth="1"/>
    <col min="15" max="15" width="10.140625" customWidth="1"/>
  </cols>
  <sheetData>
    <row r="1" spans="1:12" s="1" customFormat="1" ht="27.75" customHeight="1" thickBot="1">
      <c r="A1" s="164" t="s">
        <v>117</v>
      </c>
      <c r="E1" s="4"/>
      <c r="G1" s="4"/>
      <c r="H1" s="4"/>
      <c r="I1" s="4"/>
      <c r="J1" s="4"/>
      <c r="K1" s="4"/>
      <c r="L1" s="4"/>
    </row>
    <row r="2" spans="1:12" ht="45" customHeight="1" thickBot="1">
      <c r="A2" s="59" t="s">
        <v>21</v>
      </c>
      <c r="B2" s="60" t="s">
        <v>22</v>
      </c>
      <c r="C2" s="61" t="s">
        <v>23</v>
      </c>
      <c r="D2" s="60" t="s">
        <v>24</v>
      </c>
      <c r="E2" s="61" t="s">
        <v>25</v>
      </c>
      <c r="F2" s="60" t="s">
        <v>24</v>
      </c>
      <c r="G2" s="61" t="s">
        <v>26</v>
      </c>
      <c r="H2" s="60" t="s">
        <v>24</v>
      </c>
      <c r="I2" s="61" t="s">
        <v>27</v>
      </c>
      <c r="J2" s="60" t="s">
        <v>24</v>
      </c>
      <c r="K2" s="76" t="s">
        <v>28</v>
      </c>
      <c r="L2" s="77"/>
    </row>
    <row r="3" spans="1:12">
      <c r="A3" s="62" t="s">
        <v>29</v>
      </c>
      <c r="B3" s="63">
        <v>56.58</v>
      </c>
      <c r="C3" s="141">
        <f>D3/B3</f>
        <v>96449.462500000009</v>
      </c>
      <c r="D3" s="142">
        <v>5457110.58825</v>
      </c>
      <c r="E3" s="141">
        <f>F3/B3</f>
        <v>96988.587500000009</v>
      </c>
      <c r="F3" s="142">
        <v>5487614.2807499999</v>
      </c>
      <c r="G3" s="141">
        <f>H3/B3</f>
        <v>97527.712499999994</v>
      </c>
      <c r="H3" s="142">
        <v>5518117.9732499998</v>
      </c>
      <c r="I3" s="141">
        <f>J3/B3</f>
        <v>96988.587500000009</v>
      </c>
      <c r="J3" s="142">
        <v>5487614.2807499999</v>
      </c>
      <c r="K3" s="15" t="s">
        <v>30</v>
      </c>
      <c r="L3" s="78"/>
    </row>
    <row r="4" spans="1:12" ht="15.75" thickBot="1">
      <c r="A4" s="62" t="s">
        <v>29</v>
      </c>
      <c r="B4" s="64">
        <v>58.22</v>
      </c>
      <c r="C4" s="141">
        <f t="shared" ref="C4:C30" si="0">D4/B4</f>
        <v>95964.25</v>
      </c>
      <c r="D4" s="143">
        <v>5587038.6349999998</v>
      </c>
      <c r="E4" s="144">
        <f t="shared" ref="E4:E30" si="1">F4/B4</f>
        <v>96503.375</v>
      </c>
      <c r="F4" s="143">
        <v>5618426.4924999997</v>
      </c>
      <c r="G4" s="144">
        <f t="shared" ref="G4:G30" si="2">H4/B4</f>
        <v>97042.5</v>
      </c>
      <c r="H4" s="143">
        <v>5649814.3499999996</v>
      </c>
      <c r="I4" s="144">
        <f t="shared" ref="I4:I30" si="3">J4/B4</f>
        <v>96503.375</v>
      </c>
      <c r="J4" s="143">
        <v>5618426.4924999997</v>
      </c>
      <c r="K4" s="79" t="s">
        <v>30</v>
      </c>
      <c r="L4" s="78"/>
    </row>
    <row r="5" spans="1:12">
      <c r="A5" s="65" t="s">
        <v>31</v>
      </c>
      <c r="B5" s="66">
        <v>21.6</v>
      </c>
      <c r="C5" s="145">
        <f t="shared" si="0"/>
        <v>141044.80424999999</v>
      </c>
      <c r="D5" s="146">
        <v>3046567.7718000002</v>
      </c>
      <c r="E5" s="145">
        <f t="shared" si="1"/>
        <v>141583.92925000002</v>
      </c>
      <c r="F5" s="146">
        <v>3058212.8718000003</v>
      </c>
      <c r="G5" s="145">
        <f t="shared" si="2"/>
        <v>142123.05425000002</v>
      </c>
      <c r="H5" s="146">
        <v>3069857.9718000004</v>
      </c>
      <c r="I5" s="145">
        <f t="shared" si="3"/>
        <v>141583.92925000002</v>
      </c>
      <c r="J5" s="146">
        <v>3058212.8718000003</v>
      </c>
      <c r="K5" s="80" t="s">
        <v>30</v>
      </c>
      <c r="L5" s="78"/>
    </row>
    <row r="6" spans="1:12">
      <c r="A6" s="67" t="s">
        <v>32</v>
      </c>
      <c r="B6" s="63">
        <v>37.549999999999997</v>
      </c>
      <c r="C6" s="147">
        <f t="shared" si="0"/>
        <v>110877.52575000002</v>
      </c>
      <c r="D6" s="148">
        <v>4163451.0919125001</v>
      </c>
      <c r="E6" s="147">
        <f t="shared" si="1"/>
        <v>111416.65075000002</v>
      </c>
      <c r="F6" s="148">
        <v>4183695.2356625004</v>
      </c>
      <c r="G6" s="147">
        <f t="shared" si="2"/>
        <v>111955.77575000002</v>
      </c>
      <c r="H6" s="148">
        <v>4203939.3794125002</v>
      </c>
      <c r="I6" s="147">
        <f t="shared" si="3"/>
        <v>111416.65075000002</v>
      </c>
      <c r="J6" s="148">
        <v>4183695.2356625004</v>
      </c>
      <c r="K6" s="15" t="s">
        <v>30</v>
      </c>
      <c r="L6" s="78"/>
    </row>
    <row r="7" spans="1:12">
      <c r="A7" s="62" t="s">
        <v>33</v>
      </c>
      <c r="B7" s="63">
        <v>56.58</v>
      </c>
      <c r="C7" s="141">
        <f t="shared" si="0"/>
        <v>96449.462500000009</v>
      </c>
      <c r="D7" s="142">
        <v>5457110.58825</v>
      </c>
      <c r="E7" s="141">
        <f t="shared" si="1"/>
        <v>96988.587500000009</v>
      </c>
      <c r="F7" s="142">
        <v>5487614.2807499999</v>
      </c>
      <c r="G7" s="141">
        <f t="shared" si="2"/>
        <v>97527.712499999994</v>
      </c>
      <c r="H7" s="142">
        <v>5518117.9732499998</v>
      </c>
      <c r="I7" s="141">
        <f t="shared" si="3"/>
        <v>96988.587500000009</v>
      </c>
      <c r="J7" s="142">
        <v>5487614.2807499999</v>
      </c>
      <c r="K7" s="15" t="s">
        <v>30</v>
      </c>
      <c r="L7" s="78"/>
    </row>
    <row r="8" spans="1:12" ht="15.75" thickBot="1">
      <c r="A8" s="68" t="s">
        <v>34</v>
      </c>
      <c r="B8" s="69">
        <v>58.22</v>
      </c>
      <c r="C8" s="149">
        <f t="shared" si="0"/>
        <v>95964.25</v>
      </c>
      <c r="D8" s="150">
        <v>5587038.6349999998</v>
      </c>
      <c r="E8" s="149">
        <f t="shared" si="1"/>
        <v>96503.375</v>
      </c>
      <c r="F8" s="150">
        <v>5618426.4924999997</v>
      </c>
      <c r="G8" s="149">
        <f t="shared" si="2"/>
        <v>97042.5</v>
      </c>
      <c r="H8" s="106">
        <v>5649814.3499999996</v>
      </c>
      <c r="I8" s="144">
        <f t="shared" si="3"/>
        <v>96503.375</v>
      </c>
      <c r="J8" s="143">
        <v>5618426.4924999997</v>
      </c>
      <c r="K8" s="79" t="s">
        <v>30</v>
      </c>
      <c r="L8" s="78"/>
    </row>
    <row r="9" spans="1:12">
      <c r="A9" s="65" t="s">
        <v>35</v>
      </c>
      <c r="B9" s="66">
        <v>21.6</v>
      </c>
      <c r="C9" s="145">
        <f t="shared" si="0"/>
        <v>141044.80424999999</v>
      </c>
      <c r="D9" s="146">
        <v>3046567.7718000002</v>
      </c>
      <c r="E9" s="145">
        <f t="shared" si="1"/>
        <v>141583.92925000002</v>
      </c>
      <c r="F9" s="146">
        <v>3058212.8718000003</v>
      </c>
      <c r="G9" s="145">
        <f t="shared" si="2"/>
        <v>142123.05425000002</v>
      </c>
      <c r="H9" s="146">
        <v>3069857.9718000004</v>
      </c>
      <c r="I9" s="145">
        <f t="shared" si="3"/>
        <v>141583.92925000002</v>
      </c>
      <c r="J9" s="146">
        <v>3058212.8718000003</v>
      </c>
      <c r="K9" s="137" t="s">
        <v>30</v>
      </c>
      <c r="L9" s="78"/>
    </row>
    <row r="10" spans="1:12">
      <c r="A10" s="67" t="s">
        <v>36</v>
      </c>
      <c r="B10" s="63">
        <v>37.549999999999997</v>
      </c>
      <c r="C10" s="147">
        <f t="shared" si="0"/>
        <v>110877.52575000002</v>
      </c>
      <c r="D10" s="148">
        <v>4163451.0919125001</v>
      </c>
      <c r="E10" s="147">
        <f t="shared" si="1"/>
        <v>111416.65075000002</v>
      </c>
      <c r="F10" s="148">
        <v>4183695.2356625004</v>
      </c>
      <c r="G10" s="147">
        <f t="shared" si="2"/>
        <v>111955.77575000002</v>
      </c>
      <c r="H10" s="148">
        <v>4203939.3794125002</v>
      </c>
      <c r="I10" s="147">
        <f t="shared" si="3"/>
        <v>111416.65075000002</v>
      </c>
      <c r="J10" s="148">
        <v>4183695.2356625004</v>
      </c>
      <c r="K10" s="111" t="s">
        <v>30</v>
      </c>
      <c r="L10" s="78"/>
    </row>
    <row r="11" spans="1:12">
      <c r="A11" s="62" t="s">
        <v>37</v>
      </c>
      <c r="B11" s="63">
        <v>56.58</v>
      </c>
      <c r="C11" s="141">
        <f t="shared" si="0"/>
        <v>96449.462500000009</v>
      </c>
      <c r="D11" s="142">
        <v>5457110.58825</v>
      </c>
      <c r="E11" s="141">
        <f t="shared" si="1"/>
        <v>96988.587500000009</v>
      </c>
      <c r="F11" s="142">
        <v>5487614.2807499999</v>
      </c>
      <c r="G11" s="141">
        <f t="shared" si="2"/>
        <v>97527.712499999994</v>
      </c>
      <c r="H11" s="142">
        <v>5518117.9732499998</v>
      </c>
      <c r="I11" s="141">
        <f t="shared" si="3"/>
        <v>96988.587500000009</v>
      </c>
      <c r="J11" s="142">
        <v>5487614.2807499999</v>
      </c>
      <c r="K11" s="111" t="s">
        <v>30</v>
      </c>
      <c r="L11" s="78"/>
    </row>
    <row r="12" spans="1:12" ht="15.75" thickBot="1">
      <c r="A12" s="68" t="s">
        <v>38</v>
      </c>
      <c r="B12" s="69">
        <v>58.22</v>
      </c>
      <c r="C12" s="149">
        <f t="shared" si="0"/>
        <v>95964.25</v>
      </c>
      <c r="D12" s="150">
        <v>5587038.6349999998</v>
      </c>
      <c r="E12" s="149">
        <f t="shared" si="1"/>
        <v>96503.375</v>
      </c>
      <c r="F12" s="150">
        <v>5618426.4924999997</v>
      </c>
      <c r="G12" s="149">
        <f t="shared" si="2"/>
        <v>97042.5</v>
      </c>
      <c r="H12" s="106">
        <v>5649814.3499999996</v>
      </c>
      <c r="I12" s="144">
        <f t="shared" si="3"/>
        <v>96503.375</v>
      </c>
      <c r="J12" s="143">
        <v>5618426.4924999997</v>
      </c>
      <c r="K12" s="138" t="s">
        <v>30</v>
      </c>
      <c r="L12" s="78"/>
    </row>
    <row r="13" spans="1:12">
      <c r="A13" s="67" t="s">
        <v>39</v>
      </c>
      <c r="B13" s="70">
        <v>21.6</v>
      </c>
      <c r="C13" s="151">
        <f t="shared" si="0"/>
        <v>154656.63225</v>
      </c>
      <c r="D13" s="152">
        <v>3340583.2566</v>
      </c>
      <c r="E13" s="151">
        <f t="shared" si="1"/>
        <v>155195.75725</v>
      </c>
      <c r="F13" s="152">
        <v>3352228.3566000001</v>
      </c>
      <c r="G13" s="151">
        <f t="shared" si="2"/>
        <v>155734.88225</v>
      </c>
      <c r="H13" s="152">
        <v>3363873.4566000002</v>
      </c>
      <c r="I13" s="151">
        <f t="shared" si="3"/>
        <v>155195.75725</v>
      </c>
      <c r="J13" s="152">
        <v>3352228.3566000001</v>
      </c>
      <c r="K13" s="112" t="s">
        <v>30</v>
      </c>
      <c r="L13" s="78"/>
    </row>
    <row r="14" spans="1:12">
      <c r="A14" s="62" t="s">
        <v>41</v>
      </c>
      <c r="B14" s="63">
        <v>37.549999999999997</v>
      </c>
      <c r="C14" s="151">
        <f t="shared" si="0"/>
        <v>124359.96375000001</v>
      </c>
      <c r="D14" s="152">
        <v>4669716.6388125001</v>
      </c>
      <c r="E14" s="151">
        <f t="shared" si="1"/>
        <v>124899.08875000001</v>
      </c>
      <c r="F14" s="152">
        <v>4689960.7825624999</v>
      </c>
      <c r="G14" s="151">
        <f t="shared" si="2"/>
        <v>125438.21375</v>
      </c>
      <c r="H14" s="152">
        <v>4710204.9263124997</v>
      </c>
      <c r="I14" s="151">
        <f t="shared" si="3"/>
        <v>124899.08875000001</v>
      </c>
      <c r="J14" s="152">
        <v>4689960.7825624999</v>
      </c>
      <c r="K14" s="25" t="s">
        <v>40</v>
      </c>
      <c r="L14" s="81"/>
    </row>
    <row r="15" spans="1:12">
      <c r="A15" s="62" t="s">
        <v>42</v>
      </c>
      <c r="B15" s="63">
        <v>56.58</v>
      </c>
      <c r="C15" s="151">
        <f t="shared" si="0"/>
        <v>107343.02225000001</v>
      </c>
      <c r="D15" s="152">
        <v>6073468.1989050005</v>
      </c>
      <c r="E15" s="151">
        <f t="shared" si="1"/>
        <v>107882.14725000001</v>
      </c>
      <c r="F15" s="152">
        <v>6103971.8914050004</v>
      </c>
      <c r="G15" s="151">
        <f t="shared" si="2"/>
        <v>108421.27225000001</v>
      </c>
      <c r="H15" s="152">
        <v>6134475.5839050002</v>
      </c>
      <c r="I15" s="151">
        <f t="shared" si="3"/>
        <v>107882.14725000001</v>
      </c>
      <c r="J15" s="152">
        <v>6103971.8914050004</v>
      </c>
      <c r="K15" s="25" t="s">
        <v>40</v>
      </c>
      <c r="L15" s="78"/>
    </row>
    <row r="16" spans="1:12" ht="15.75" thickBot="1">
      <c r="A16" s="68" t="s">
        <v>42</v>
      </c>
      <c r="B16" s="69">
        <v>58.22</v>
      </c>
      <c r="C16" s="149">
        <f t="shared" si="0"/>
        <v>106616.28174999999</v>
      </c>
      <c r="D16" s="150">
        <v>6207199.9234849997</v>
      </c>
      <c r="E16" s="149">
        <f t="shared" si="1"/>
        <v>107694.53174999999</v>
      </c>
      <c r="F16" s="150">
        <v>6269975.6384849995</v>
      </c>
      <c r="G16" s="149">
        <f t="shared" si="2"/>
        <v>107694.53174999999</v>
      </c>
      <c r="H16" s="150">
        <v>6269975.6384849995</v>
      </c>
      <c r="I16" s="149">
        <f t="shared" si="3"/>
        <v>107155.40674999999</v>
      </c>
      <c r="J16" s="106">
        <v>6238587.7809849996</v>
      </c>
      <c r="K16" s="18" t="s">
        <v>40</v>
      </c>
      <c r="L16" s="78"/>
    </row>
    <row r="17" spans="1:12" ht="18.75" customHeight="1">
      <c r="A17" s="67" t="s">
        <v>43</v>
      </c>
      <c r="B17" s="70">
        <v>21.6</v>
      </c>
      <c r="C17" s="151">
        <f t="shared" si="0"/>
        <v>142462.70300000001</v>
      </c>
      <c r="D17" s="152">
        <v>3077194.3848000001</v>
      </c>
      <c r="E17" s="151">
        <f t="shared" si="1"/>
        <v>143001.82800000001</v>
      </c>
      <c r="F17" s="152">
        <v>3088839.4848000002</v>
      </c>
      <c r="G17" s="151">
        <f t="shared" si="2"/>
        <v>143540.95299999998</v>
      </c>
      <c r="H17" s="152">
        <v>3100484.5847999998</v>
      </c>
      <c r="I17" s="151">
        <f t="shared" si="3"/>
        <v>143001.82800000001</v>
      </c>
      <c r="J17" s="152">
        <v>3088839.4848000002</v>
      </c>
      <c r="K17" s="112" t="s">
        <v>30</v>
      </c>
      <c r="L17" s="78"/>
    </row>
    <row r="18" spans="1:12">
      <c r="A18" s="62" t="s">
        <v>44</v>
      </c>
      <c r="B18" s="63">
        <v>37.549999999999997</v>
      </c>
      <c r="C18" s="151">
        <f t="shared" si="0"/>
        <v>116621.36350000001</v>
      </c>
      <c r="D18" s="152">
        <v>4379132.1994249998</v>
      </c>
      <c r="E18" s="151">
        <f t="shared" si="1"/>
        <v>117160.48849999999</v>
      </c>
      <c r="F18" s="152">
        <v>4399376.3431749996</v>
      </c>
      <c r="G18" s="151">
        <f t="shared" si="2"/>
        <v>117699.61350000002</v>
      </c>
      <c r="H18" s="152">
        <v>4419620.4869250003</v>
      </c>
      <c r="I18" s="151">
        <f t="shared" si="3"/>
        <v>117160.48849999999</v>
      </c>
      <c r="J18" s="152">
        <v>4399376.3431749996</v>
      </c>
      <c r="K18" s="112" t="s">
        <v>30</v>
      </c>
      <c r="L18" s="78"/>
    </row>
    <row r="19" spans="1:12">
      <c r="A19" s="62" t="s">
        <v>45</v>
      </c>
      <c r="B19" s="63">
        <v>56.58</v>
      </c>
      <c r="C19" s="151">
        <f t="shared" si="0"/>
        <v>102184.67425000001</v>
      </c>
      <c r="D19" s="152">
        <v>5781608.8690650007</v>
      </c>
      <c r="E19" s="151">
        <f t="shared" si="1"/>
        <v>102723.79925000001</v>
      </c>
      <c r="F19" s="152">
        <v>5812112.5615650006</v>
      </c>
      <c r="G19" s="151">
        <f t="shared" si="2"/>
        <v>103262.92425000001</v>
      </c>
      <c r="H19" s="152">
        <v>5842616.2540650005</v>
      </c>
      <c r="I19" s="151">
        <f t="shared" si="3"/>
        <v>102723.79925000001</v>
      </c>
      <c r="J19" s="152">
        <v>5812112.5615650006</v>
      </c>
      <c r="K19" s="112" t="s">
        <v>30</v>
      </c>
      <c r="L19" s="78"/>
    </row>
    <row r="20" spans="1:12" ht="15.75" thickBot="1">
      <c r="A20" s="68" t="s">
        <v>45</v>
      </c>
      <c r="B20" s="69">
        <v>58.22</v>
      </c>
      <c r="C20" s="149">
        <f t="shared" si="0"/>
        <v>101564.6805</v>
      </c>
      <c r="D20" s="150">
        <v>5913095.6987100001</v>
      </c>
      <c r="E20" s="149">
        <f t="shared" si="1"/>
        <v>102103.80550000002</v>
      </c>
      <c r="F20" s="150">
        <v>5944483.556210001</v>
      </c>
      <c r="G20" s="149">
        <f t="shared" si="2"/>
        <v>102642.93050000002</v>
      </c>
      <c r="H20" s="150">
        <v>5975871.4137100009</v>
      </c>
      <c r="I20" s="149">
        <f t="shared" si="3"/>
        <v>102103.80550000002</v>
      </c>
      <c r="J20" s="106">
        <v>5944483.556210001</v>
      </c>
      <c r="K20" s="113" t="s">
        <v>30</v>
      </c>
      <c r="L20" s="78"/>
    </row>
    <row r="21" spans="1:12">
      <c r="A21" s="67" t="s">
        <v>46</v>
      </c>
      <c r="B21" s="70">
        <v>21.6</v>
      </c>
      <c r="C21" s="151">
        <f t="shared" si="0"/>
        <v>142462.70300000001</v>
      </c>
      <c r="D21" s="152">
        <v>3077194.3848000001</v>
      </c>
      <c r="E21" s="151">
        <f t="shared" si="1"/>
        <v>143001.82800000001</v>
      </c>
      <c r="F21" s="152">
        <v>3088839.4848000002</v>
      </c>
      <c r="G21" s="151">
        <f t="shared" si="2"/>
        <v>143540.95299999998</v>
      </c>
      <c r="H21" s="152">
        <v>3100484.5847999998</v>
      </c>
      <c r="I21" s="151">
        <f t="shared" si="3"/>
        <v>143001.82800000001</v>
      </c>
      <c r="J21" s="152">
        <v>3088839.4848000002</v>
      </c>
      <c r="K21" s="112" t="s">
        <v>30</v>
      </c>
      <c r="L21" s="78"/>
    </row>
    <row r="22" spans="1:12">
      <c r="A22" s="62" t="s">
        <v>47</v>
      </c>
      <c r="B22" s="63">
        <v>37.549999999999997</v>
      </c>
      <c r="C22" s="151">
        <f t="shared" si="0"/>
        <v>122365.20125000001</v>
      </c>
      <c r="D22" s="152">
        <v>4594813.3069374999</v>
      </c>
      <c r="E22" s="151">
        <f t="shared" si="1"/>
        <v>122903.24800000002</v>
      </c>
      <c r="F22" s="152">
        <v>4615016.9624000005</v>
      </c>
      <c r="G22" s="151">
        <f t="shared" si="2"/>
        <v>123442.37300000002</v>
      </c>
      <c r="H22" s="152">
        <v>4635261.1061500004</v>
      </c>
      <c r="I22" s="151">
        <f t="shared" si="3"/>
        <v>122903.24800000002</v>
      </c>
      <c r="J22" s="152">
        <v>4615016.9624000005</v>
      </c>
      <c r="K22" s="25" t="s">
        <v>48</v>
      </c>
      <c r="L22" s="81"/>
    </row>
    <row r="23" spans="1:12">
      <c r="A23" s="62" t="s">
        <v>49</v>
      </c>
      <c r="B23" s="63">
        <v>56.58</v>
      </c>
      <c r="C23" s="151">
        <f t="shared" si="0"/>
        <v>105024.78474999999</v>
      </c>
      <c r="D23" s="152">
        <v>5942302.3211549995</v>
      </c>
      <c r="E23" s="151">
        <f t="shared" si="1"/>
        <v>105563.90975000001</v>
      </c>
      <c r="F23" s="152">
        <v>5972806.0136550004</v>
      </c>
      <c r="G23" s="151">
        <f t="shared" si="2"/>
        <v>106103.03475000001</v>
      </c>
      <c r="H23" s="152">
        <v>6003309.7061550003</v>
      </c>
      <c r="I23" s="151">
        <f t="shared" si="3"/>
        <v>105563.90975000001</v>
      </c>
      <c r="J23" s="152">
        <v>5972806.0136550004</v>
      </c>
      <c r="K23" s="25" t="s">
        <v>48</v>
      </c>
      <c r="L23" s="78"/>
    </row>
    <row r="24" spans="1:12" ht="16.5" customHeight="1" thickBot="1">
      <c r="A24" s="68" t="s">
        <v>49</v>
      </c>
      <c r="B24" s="69">
        <v>58.22</v>
      </c>
      <c r="C24" s="149">
        <f t="shared" si="0"/>
        <v>104298.04424999999</v>
      </c>
      <c r="D24" s="150">
        <v>6072232.1362349996</v>
      </c>
      <c r="E24" s="149">
        <f t="shared" si="1"/>
        <v>104837.16924999999</v>
      </c>
      <c r="F24" s="150">
        <v>6103619.9937349996</v>
      </c>
      <c r="G24" s="149">
        <f t="shared" si="2"/>
        <v>105376.29425000001</v>
      </c>
      <c r="H24" s="150">
        <v>6135007.8512350004</v>
      </c>
      <c r="I24" s="149">
        <f t="shared" si="3"/>
        <v>104837.16924999999</v>
      </c>
      <c r="J24" s="106">
        <v>6103619.9937349996</v>
      </c>
      <c r="K24" s="18" t="s">
        <v>48</v>
      </c>
      <c r="L24" s="78"/>
    </row>
    <row r="25" spans="1:12">
      <c r="A25" s="67" t="s">
        <v>50</v>
      </c>
      <c r="B25" s="71">
        <v>21.6</v>
      </c>
      <c r="C25" s="153">
        <f t="shared" si="0"/>
        <v>152446.21974999999</v>
      </c>
      <c r="D25" s="154">
        <v>3292838.3466000003</v>
      </c>
      <c r="E25" s="153">
        <f t="shared" si="1"/>
        <v>152985.34475000002</v>
      </c>
      <c r="F25" s="154">
        <v>3304483.4466000004</v>
      </c>
      <c r="G25" s="145">
        <f t="shared" si="2"/>
        <v>153524.46974999999</v>
      </c>
      <c r="H25" s="152">
        <v>3316128.5466</v>
      </c>
      <c r="I25" s="153">
        <f t="shared" si="3"/>
        <v>152985.34475000002</v>
      </c>
      <c r="J25" s="155">
        <v>3304483.4466000004</v>
      </c>
      <c r="K25" s="82" t="s">
        <v>48</v>
      </c>
      <c r="L25" s="78"/>
    </row>
    <row r="26" spans="1:12">
      <c r="A26" s="62" t="s">
        <v>51</v>
      </c>
      <c r="B26" s="72">
        <v>37.549999999999997</v>
      </c>
      <c r="C26" s="156">
        <f t="shared" si="0"/>
        <v>122365.20125000001</v>
      </c>
      <c r="D26" s="154">
        <v>4594813.3069374999</v>
      </c>
      <c r="E26" s="156">
        <f t="shared" si="1"/>
        <v>122904.32625</v>
      </c>
      <c r="F26" s="154">
        <v>4615057.4506874997</v>
      </c>
      <c r="G26" s="151">
        <f t="shared" si="2"/>
        <v>123442.37300000002</v>
      </c>
      <c r="H26" s="152">
        <v>4635261.1061500004</v>
      </c>
      <c r="I26" s="156">
        <f t="shared" si="3"/>
        <v>122903.24800000002</v>
      </c>
      <c r="J26" s="107">
        <v>4615016.9624000005</v>
      </c>
      <c r="K26" s="82" t="s">
        <v>48</v>
      </c>
      <c r="L26" s="81"/>
    </row>
    <row r="27" spans="1:12">
      <c r="A27" s="62" t="s">
        <v>52</v>
      </c>
      <c r="B27" s="72">
        <v>56.58</v>
      </c>
      <c r="C27" s="156">
        <f t="shared" si="0"/>
        <v>105024.78474999999</v>
      </c>
      <c r="D27" s="154">
        <v>5942302.3211549995</v>
      </c>
      <c r="E27" s="156">
        <f t="shared" si="1"/>
        <v>105563.90975000001</v>
      </c>
      <c r="F27" s="154">
        <v>5972806.0136550004</v>
      </c>
      <c r="G27" s="151">
        <f t="shared" si="2"/>
        <v>106103.03475000001</v>
      </c>
      <c r="H27" s="152">
        <v>6003309.7061550003</v>
      </c>
      <c r="I27" s="156">
        <f t="shared" si="3"/>
        <v>105563.90975000001</v>
      </c>
      <c r="J27" s="107">
        <v>5972806.0136550004</v>
      </c>
      <c r="K27" s="82" t="s">
        <v>48</v>
      </c>
      <c r="L27" s="78"/>
    </row>
    <row r="28" spans="1:12" ht="15.75" thickBot="1">
      <c r="A28" s="68" t="s">
        <v>52</v>
      </c>
      <c r="B28" s="73">
        <v>58.22</v>
      </c>
      <c r="C28" s="157">
        <f t="shared" si="0"/>
        <v>104298.04424999999</v>
      </c>
      <c r="D28" s="158">
        <v>6072232.1362349996</v>
      </c>
      <c r="E28" s="157">
        <f t="shared" si="1"/>
        <v>104837.16924999999</v>
      </c>
      <c r="F28" s="158">
        <v>6103619.9937349996</v>
      </c>
      <c r="G28" s="149">
        <f t="shared" si="2"/>
        <v>105376.29425000001</v>
      </c>
      <c r="H28" s="150">
        <v>6135007.8512350004</v>
      </c>
      <c r="I28" s="157">
        <f t="shared" si="3"/>
        <v>104837.16924999999</v>
      </c>
      <c r="J28" s="106">
        <v>6103619.9937349996</v>
      </c>
      <c r="K28" s="83" t="s">
        <v>48</v>
      </c>
      <c r="L28" s="78"/>
    </row>
    <row r="29" spans="1:12">
      <c r="A29" s="62" t="s">
        <v>53</v>
      </c>
      <c r="B29" s="74">
        <v>35.67</v>
      </c>
      <c r="C29" s="153">
        <f t="shared" si="0"/>
        <v>113346.71824999999</v>
      </c>
      <c r="D29" s="159">
        <v>4043077.4399775001</v>
      </c>
      <c r="E29" s="153">
        <f t="shared" si="1"/>
        <v>113885.84324999999</v>
      </c>
      <c r="F29" s="159">
        <v>4062308.0287274998</v>
      </c>
      <c r="G29" s="145">
        <f t="shared" si="2"/>
        <v>114424.96824999999</v>
      </c>
      <c r="H29" s="155">
        <v>4081538.6174774999</v>
      </c>
      <c r="I29" s="153">
        <f t="shared" si="3"/>
        <v>113885.84324999999</v>
      </c>
      <c r="J29" s="155">
        <v>4062308.0287274998</v>
      </c>
      <c r="K29" s="139" t="s">
        <v>30</v>
      </c>
      <c r="L29" s="78"/>
    </row>
    <row r="30" spans="1:12" ht="15.75" thickBot="1">
      <c r="A30" s="68" t="s">
        <v>53</v>
      </c>
      <c r="B30" s="75">
        <v>37.090000000000003</v>
      </c>
      <c r="C30" s="160">
        <f t="shared" si="0"/>
        <v>112442.06649999999</v>
      </c>
      <c r="D30" s="161">
        <v>4170476.246485</v>
      </c>
      <c r="E30" s="160">
        <f t="shared" si="1"/>
        <v>112981.19149999999</v>
      </c>
      <c r="F30" s="161">
        <v>4190472.3927349998</v>
      </c>
      <c r="G30" s="144">
        <f t="shared" si="2"/>
        <v>113520.31649999999</v>
      </c>
      <c r="H30" s="162">
        <v>4210468.538985</v>
      </c>
      <c r="I30" s="160">
        <f t="shared" si="3"/>
        <v>112981.19149999999</v>
      </c>
      <c r="J30" s="162">
        <v>4190472.3927349998</v>
      </c>
      <c r="K30" s="140" t="s">
        <v>30</v>
      </c>
      <c r="L30" s="78"/>
    </row>
    <row r="31" spans="1:12">
      <c r="D31" s="34"/>
    </row>
    <row r="32" spans="1:12" ht="19.5" thickBot="1">
      <c r="A32" s="164" t="s">
        <v>118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0.75" thickBot="1">
      <c r="A33" s="59" t="s">
        <v>21</v>
      </c>
      <c r="B33" s="60" t="s">
        <v>22</v>
      </c>
      <c r="C33" s="61" t="s">
        <v>23</v>
      </c>
      <c r="D33" s="60" t="s">
        <v>24</v>
      </c>
      <c r="E33" s="61" t="s">
        <v>25</v>
      </c>
      <c r="F33" s="60" t="s">
        <v>24</v>
      </c>
      <c r="G33" s="61" t="s">
        <v>26</v>
      </c>
      <c r="H33" s="60" t="s">
        <v>24</v>
      </c>
      <c r="I33" s="61" t="s">
        <v>27</v>
      </c>
      <c r="J33" s="60" t="s">
        <v>24</v>
      </c>
      <c r="K33" s="76" t="s">
        <v>28</v>
      </c>
    </row>
    <row r="34" spans="1:11">
      <c r="A34" s="62" t="s">
        <v>29</v>
      </c>
      <c r="B34" s="63">
        <v>56.58</v>
      </c>
      <c r="C34" s="141">
        <f>D34/B34</f>
        <v>94749.912500000006</v>
      </c>
      <c r="D34" s="142">
        <v>5360950.0492500002</v>
      </c>
      <c r="E34" s="141">
        <f>F34/B34</f>
        <v>95279.537500000006</v>
      </c>
      <c r="F34" s="142">
        <v>5390916.2317500003</v>
      </c>
      <c r="G34" s="141">
        <f>H34/B34</f>
        <v>95809.162500000006</v>
      </c>
      <c r="H34" s="142">
        <v>5420882.4142500004</v>
      </c>
      <c r="I34" s="141">
        <f>J34/B34</f>
        <v>95279.537500000006</v>
      </c>
      <c r="J34" s="142">
        <v>5390916.2317500003</v>
      </c>
      <c r="K34" s="15" t="s">
        <v>30</v>
      </c>
    </row>
    <row r="35" spans="1:11" ht="15.75" thickBot="1">
      <c r="A35" s="62" t="s">
        <v>29</v>
      </c>
      <c r="B35" s="64">
        <v>58.22</v>
      </c>
      <c r="C35" s="141">
        <f t="shared" ref="C35:C61" si="4">D35/B35</f>
        <v>94273.25</v>
      </c>
      <c r="D35" s="143">
        <v>5488588.6150000002</v>
      </c>
      <c r="E35" s="144">
        <f t="shared" ref="E35:E61" si="5">F35/B35</f>
        <v>94802.875</v>
      </c>
      <c r="F35" s="143">
        <v>5519423.3825000003</v>
      </c>
      <c r="G35" s="144">
        <f t="shared" ref="G35:G61" si="6">H35/B35</f>
        <v>95332.500000000015</v>
      </c>
      <c r="H35" s="143">
        <v>5550258.1500000004</v>
      </c>
      <c r="I35" s="144">
        <f t="shared" ref="I35:I61" si="7">J35/B35</f>
        <v>94802.875</v>
      </c>
      <c r="J35" s="143">
        <v>5519423.3825000003</v>
      </c>
      <c r="K35" s="79" t="s">
        <v>30</v>
      </c>
    </row>
    <row r="36" spans="1:11">
      <c r="A36" s="65" t="s">
        <v>31</v>
      </c>
      <c r="B36" s="66">
        <v>21.6</v>
      </c>
      <c r="C36" s="145">
        <f t="shared" si="4"/>
        <v>138559.43325</v>
      </c>
      <c r="D36" s="146">
        <v>2992883.7582</v>
      </c>
      <c r="E36" s="145">
        <f t="shared" si="5"/>
        <v>139089.05825</v>
      </c>
      <c r="F36" s="146">
        <v>3004323.6581999999</v>
      </c>
      <c r="G36" s="145">
        <f t="shared" si="6"/>
        <v>139618.68325</v>
      </c>
      <c r="H36" s="146">
        <v>3015763.5582000003</v>
      </c>
      <c r="I36" s="145">
        <f t="shared" si="7"/>
        <v>139089.05825</v>
      </c>
      <c r="J36" s="146">
        <v>3004323.6581999999</v>
      </c>
      <c r="K36" s="80" t="s">
        <v>30</v>
      </c>
    </row>
    <row r="37" spans="1:11">
      <c r="A37" s="67" t="s">
        <v>32</v>
      </c>
      <c r="B37" s="63">
        <v>37.549999999999997</v>
      </c>
      <c r="C37" s="147">
        <f t="shared" si="4"/>
        <v>108923.73675000001</v>
      </c>
      <c r="D37" s="148">
        <v>4090086.3149625002</v>
      </c>
      <c r="E37" s="147">
        <f t="shared" si="5"/>
        <v>109453.36175000001</v>
      </c>
      <c r="F37" s="148">
        <v>4109973.7337125</v>
      </c>
      <c r="G37" s="147">
        <f t="shared" si="6"/>
        <v>109982.98675000001</v>
      </c>
      <c r="H37" s="148">
        <v>4129861.1524625001</v>
      </c>
      <c r="I37" s="147">
        <f t="shared" si="7"/>
        <v>109453.36175000001</v>
      </c>
      <c r="J37" s="148">
        <v>4109973.7337125</v>
      </c>
      <c r="K37" s="15" t="s">
        <v>30</v>
      </c>
    </row>
    <row r="38" spans="1:11">
      <c r="A38" s="62" t="s">
        <v>33</v>
      </c>
      <c r="B38" s="63">
        <v>56.58</v>
      </c>
      <c r="C38" s="141">
        <f t="shared" si="4"/>
        <v>94749.912500000006</v>
      </c>
      <c r="D38" s="142">
        <v>5360950.0492500002</v>
      </c>
      <c r="E38" s="141">
        <f t="shared" si="5"/>
        <v>95279.537500000006</v>
      </c>
      <c r="F38" s="142">
        <v>5390916.2317500003</v>
      </c>
      <c r="G38" s="141">
        <f t="shared" si="6"/>
        <v>95809.162500000006</v>
      </c>
      <c r="H38" s="142">
        <v>5420882.4142500004</v>
      </c>
      <c r="I38" s="141">
        <f t="shared" si="7"/>
        <v>95279.537500000006</v>
      </c>
      <c r="J38" s="142">
        <v>5390916.2317500003</v>
      </c>
      <c r="K38" s="15" t="s">
        <v>30</v>
      </c>
    </row>
    <row r="39" spans="1:11" ht="15.75" thickBot="1">
      <c r="A39" s="68" t="s">
        <v>34</v>
      </c>
      <c r="B39" s="69">
        <v>58.22</v>
      </c>
      <c r="C39" s="149">
        <f t="shared" si="4"/>
        <v>94273.25</v>
      </c>
      <c r="D39" s="150">
        <v>5488588.6150000002</v>
      </c>
      <c r="E39" s="149">
        <f t="shared" si="5"/>
        <v>94802.875</v>
      </c>
      <c r="F39" s="150">
        <v>5519423.3825000003</v>
      </c>
      <c r="G39" s="149">
        <f t="shared" si="6"/>
        <v>95332.500000000015</v>
      </c>
      <c r="H39" s="106">
        <v>5550258.1500000004</v>
      </c>
      <c r="I39" s="144">
        <f t="shared" si="7"/>
        <v>94802.875</v>
      </c>
      <c r="J39" s="143">
        <v>5519423.3825000003</v>
      </c>
      <c r="K39" s="79" t="s">
        <v>30</v>
      </c>
    </row>
    <row r="40" spans="1:11">
      <c r="A40" s="65" t="s">
        <v>35</v>
      </c>
      <c r="B40" s="66">
        <v>21.6</v>
      </c>
      <c r="C40" s="145">
        <f t="shared" si="4"/>
        <v>138559.43325</v>
      </c>
      <c r="D40" s="146">
        <v>2992883.7582</v>
      </c>
      <c r="E40" s="145">
        <f t="shared" si="5"/>
        <v>139089.05825</v>
      </c>
      <c r="F40" s="146">
        <v>3004323.6581999999</v>
      </c>
      <c r="G40" s="145">
        <f t="shared" si="6"/>
        <v>139618.68325</v>
      </c>
      <c r="H40" s="146">
        <v>3015763.5582000003</v>
      </c>
      <c r="I40" s="145">
        <f t="shared" si="7"/>
        <v>139089.05825</v>
      </c>
      <c r="J40" s="146">
        <v>3004323.6581999999</v>
      </c>
      <c r="K40" s="137" t="s">
        <v>30</v>
      </c>
    </row>
    <row r="41" spans="1:11">
      <c r="A41" s="67" t="s">
        <v>36</v>
      </c>
      <c r="B41" s="63">
        <v>37.549999999999997</v>
      </c>
      <c r="C41" s="147">
        <f t="shared" si="4"/>
        <v>108923.73675000001</v>
      </c>
      <c r="D41" s="148">
        <v>4090086.3149625002</v>
      </c>
      <c r="E41" s="147">
        <f t="shared" si="5"/>
        <v>109453.36175000001</v>
      </c>
      <c r="F41" s="148">
        <v>4109973.7337125</v>
      </c>
      <c r="G41" s="147">
        <f t="shared" si="6"/>
        <v>109982.98675000001</v>
      </c>
      <c r="H41" s="148">
        <v>4129861.1524625001</v>
      </c>
      <c r="I41" s="147">
        <f t="shared" si="7"/>
        <v>109453.36175000001</v>
      </c>
      <c r="J41" s="148">
        <v>4109973.7337125</v>
      </c>
      <c r="K41" s="111" t="s">
        <v>30</v>
      </c>
    </row>
    <row r="42" spans="1:11">
      <c r="A42" s="62" t="s">
        <v>37</v>
      </c>
      <c r="B42" s="63">
        <v>56.58</v>
      </c>
      <c r="C42" s="141">
        <f t="shared" si="4"/>
        <v>94749.912500000006</v>
      </c>
      <c r="D42" s="142">
        <v>5360950.0492500002</v>
      </c>
      <c r="E42" s="141">
        <f t="shared" si="5"/>
        <v>95279.537500000006</v>
      </c>
      <c r="F42" s="142">
        <v>5390916.2317500003</v>
      </c>
      <c r="G42" s="141">
        <f t="shared" si="6"/>
        <v>95809.162500000006</v>
      </c>
      <c r="H42" s="142">
        <v>5420882.4142500004</v>
      </c>
      <c r="I42" s="141">
        <f t="shared" si="7"/>
        <v>95279.537500000006</v>
      </c>
      <c r="J42" s="142">
        <v>5390916.2317500003</v>
      </c>
      <c r="K42" s="111" t="s">
        <v>30</v>
      </c>
    </row>
    <row r="43" spans="1:11" ht="15.75" thickBot="1">
      <c r="A43" s="68" t="s">
        <v>38</v>
      </c>
      <c r="B43" s="69">
        <v>58.22</v>
      </c>
      <c r="C43" s="149">
        <f t="shared" si="4"/>
        <v>94273.25</v>
      </c>
      <c r="D43" s="150">
        <v>5488588.6150000002</v>
      </c>
      <c r="E43" s="149">
        <f t="shared" si="5"/>
        <v>94802.875</v>
      </c>
      <c r="F43" s="150">
        <v>5519423.3825000003</v>
      </c>
      <c r="G43" s="149">
        <f t="shared" si="6"/>
        <v>95332.500000000015</v>
      </c>
      <c r="H43" s="106">
        <v>5550258.1500000004</v>
      </c>
      <c r="I43" s="144">
        <f t="shared" si="7"/>
        <v>94802.875</v>
      </c>
      <c r="J43" s="143">
        <v>5519423.3825000003</v>
      </c>
      <c r="K43" s="138" t="s">
        <v>30</v>
      </c>
    </row>
    <row r="44" spans="1:11">
      <c r="A44" s="67" t="s">
        <v>39</v>
      </c>
      <c r="B44" s="70">
        <v>21.6</v>
      </c>
      <c r="C44" s="151">
        <f t="shared" si="4"/>
        <v>151931.40525000001</v>
      </c>
      <c r="D44" s="152">
        <v>3281718.3534000004</v>
      </c>
      <c r="E44" s="151">
        <f t="shared" si="5"/>
        <v>152461.03025000001</v>
      </c>
      <c r="F44" s="152">
        <v>3293158.2534000003</v>
      </c>
      <c r="G44" s="151">
        <f t="shared" si="6"/>
        <v>152990.65525000001</v>
      </c>
      <c r="H44" s="152">
        <v>3304598.1534000002</v>
      </c>
      <c r="I44" s="151">
        <f t="shared" si="7"/>
        <v>152461.03025000001</v>
      </c>
      <c r="J44" s="152">
        <v>3293158.2534000003</v>
      </c>
      <c r="K44" s="112" t="s">
        <v>30</v>
      </c>
    </row>
    <row r="45" spans="1:11">
      <c r="A45" s="62" t="s">
        <v>41</v>
      </c>
      <c r="B45" s="63">
        <v>37.549999999999997</v>
      </c>
      <c r="C45" s="151">
        <f t="shared" si="4"/>
        <v>122168.59875000002</v>
      </c>
      <c r="D45" s="152">
        <v>4587430.8830625005</v>
      </c>
      <c r="E45" s="151">
        <f t="shared" si="5"/>
        <v>122698.22375</v>
      </c>
      <c r="F45" s="152">
        <v>4607318.3018124998</v>
      </c>
      <c r="G45" s="151">
        <f t="shared" si="6"/>
        <v>123227.84875</v>
      </c>
      <c r="H45" s="152">
        <v>4627205.7205624999</v>
      </c>
      <c r="I45" s="151">
        <f t="shared" si="7"/>
        <v>122698.22375</v>
      </c>
      <c r="J45" s="152">
        <v>4607318.3018124998</v>
      </c>
      <c r="K45" s="25" t="s">
        <v>40</v>
      </c>
    </row>
    <row r="46" spans="1:11">
      <c r="A46" s="62" t="s">
        <v>42</v>
      </c>
      <c r="B46" s="63">
        <v>56.58</v>
      </c>
      <c r="C46" s="151">
        <f t="shared" si="4"/>
        <v>105451.51525</v>
      </c>
      <c r="D46" s="152">
        <v>5966446.732845</v>
      </c>
      <c r="E46" s="151">
        <f t="shared" si="5"/>
        <v>105981.14025000001</v>
      </c>
      <c r="F46" s="152">
        <v>5996412.9153450001</v>
      </c>
      <c r="G46" s="151">
        <f t="shared" si="6"/>
        <v>106510.76525000001</v>
      </c>
      <c r="H46" s="152">
        <v>6026379.0978450002</v>
      </c>
      <c r="I46" s="151">
        <f t="shared" si="7"/>
        <v>105981.14025000001</v>
      </c>
      <c r="J46" s="152">
        <v>5996412.9153450001</v>
      </c>
      <c r="K46" s="25" t="s">
        <v>40</v>
      </c>
    </row>
    <row r="47" spans="1:11" ht="15.75" thickBot="1">
      <c r="A47" s="68" t="s">
        <v>42</v>
      </c>
      <c r="B47" s="69">
        <v>58.22</v>
      </c>
      <c r="C47" s="149">
        <f t="shared" si="4"/>
        <v>104737.58074999999</v>
      </c>
      <c r="D47" s="150">
        <v>6097821.9512649998</v>
      </c>
      <c r="E47" s="149">
        <f t="shared" si="5"/>
        <v>105796.83074999998</v>
      </c>
      <c r="F47" s="150">
        <v>6159491.486264999</v>
      </c>
      <c r="G47" s="149">
        <f t="shared" si="6"/>
        <v>105796.83074999998</v>
      </c>
      <c r="H47" s="150">
        <v>6159491.486264999</v>
      </c>
      <c r="I47" s="149">
        <f t="shared" si="7"/>
        <v>105267.20574999999</v>
      </c>
      <c r="J47" s="106">
        <v>6128656.7187649999</v>
      </c>
      <c r="K47" s="18" t="s">
        <v>40</v>
      </c>
    </row>
    <row r="48" spans="1:11">
      <c r="A48" s="67" t="s">
        <v>43</v>
      </c>
      <c r="B48" s="70">
        <v>21.6</v>
      </c>
      <c r="C48" s="151">
        <f t="shared" si="4"/>
        <v>139952.34699999998</v>
      </c>
      <c r="D48" s="152">
        <v>3022970.6952</v>
      </c>
      <c r="E48" s="151">
        <f t="shared" si="5"/>
        <v>140481.97199999998</v>
      </c>
      <c r="F48" s="152">
        <v>3034410.5951999999</v>
      </c>
      <c r="G48" s="151">
        <f t="shared" si="6"/>
        <v>141011.59699999998</v>
      </c>
      <c r="H48" s="152">
        <v>3045850.4951999998</v>
      </c>
      <c r="I48" s="151">
        <f t="shared" si="7"/>
        <v>140481.97199999998</v>
      </c>
      <c r="J48" s="152">
        <v>3034410.5951999999</v>
      </c>
      <c r="K48" s="112" t="s">
        <v>30</v>
      </c>
    </row>
    <row r="49" spans="1:11">
      <c r="A49" s="62" t="s">
        <v>44</v>
      </c>
      <c r="B49" s="63">
        <v>37.549999999999997</v>
      </c>
      <c r="C49" s="151">
        <f t="shared" si="4"/>
        <v>114566.3615</v>
      </c>
      <c r="D49" s="152">
        <v>4301966.8743249997</v>
      </c>
      <c r="E49" s="151">
        <f t="shared" si="5"/>
        <v>115095.98650000001</v>
      </c>
      <c r="F49" s="152">
        <v>4321854.2930749999</v>
      </c>
      <c r="G49" s="151">
        <f t="shared" si="6"/>
        <v>115625.61150000001</v>
      </c>
      <c r="H49" s="152">
        <v>4341741.7118250001</v>
      </c>
      <c r="I49" s="151">
        <f t="shared" si="7"/>
        <v>115095.98650000001</v>
      </c>
      <c r="J49" s="152">
        <v>4321854.2930749999</v>
      </c>
      <c r="K49" s="112" t="s">
        <v>30</v>
      </c>
    </row>
    <row r="50" spans="1:11">
      <c r="A50" s="62" t="s">
        <v>45</v>
      </c>
      <c r="B50" s="63">
        <v>56.58</v>
      </c>
      <c r="C50" s="151">
        <f t="shared" si="4"/>
        <v>100384.06325000001</v>
      </c>
      <c r="D50" s="152">
        <v>5679730.2986850003</v>
      </c>
      <c r="E50" s="151">
        <f t="shared" si="5"/>
        <v>100913.68825000001</v>
      </c>
      <c r="F50" s="152">
        <v>5709696.4811850004</v>
      </c>
      <c r="G50" s="151">
        <f t="shared" si="6"/>
        <v>101443.31325000001</v>
      </c>
      <c r="H50" s="152">
        <v>5739662.6636850005</v>
      </c>
      <c r="I50" s="151">
        <f t="shared" si="7"/>
        <v>100913.68825000001</v>
      </c>
      <c r="J50" s="152">
        <v>5709696.4811850004</v>
      </c>
      <c r="K50" s="112" t="s">
        <v>30</v>
      </c>
    </row>
    <row r="51" spans="1:11" ht="15.75" thickBot="1">
      <c r="A51" s="68" t="s">
        <v>45</v>
      </c>
      <c r="B51" s="69">
        <v>58.22</v>
      </c>
      <c r="C51" s="149">
        <f t="shared" si="4"/>
        <v>99774.994500000015</v>
      </c>
      <c r="D51" s="150">
        <v>5808900.1797900004</v>
      </c>
      <c r="E51" s="149">
        <f t="shared" si="5"/>
        <v>100304.61950000002</v>
      </c>
      <c r="F51" s="150">
        <v>5839734.9472900005</v>
      </c>
      <c r="G51" s="149">
        <f t="shared" si="6"/>
        <v>100834.24450000002</v>
      </c>
      <c r="H51" s="150">
        <v>5870569.7147900006</v>
      </c>
      <c r="I51" s="149">
        <f t="shared" si="7"/>
        <v>100304.61950000002</v>
      </c>
      <c r="J51" s="106">
        <v>5839734.9472900005</v>
      </c>
      <c r="K51" s="113" t="s">
        <v>30</v>
      </c>
    </row>
    <row r="52" spans="1:11">
      <c r="A52" s="67" t="s">
        <v>46</v>
      </c>
      <c r="B52" s="70">
        <v>21.6</v>
      </c>
      <c r="C52" s="151">
        <f t="shared" si="4"/>
        <v>139952.34699999998</v>
      </c>
      <c r="D52" s="152">
        <v>3022970.6952</v>
      </c>
      <c r="E52" s="151">
        <f t="shared" si="5"/>
        <v>140481.97199999998</v>
      </c>
      <c r="F52" s="152">
        <v>3034410.5951999999</v>
      </c>
      <c r="G52" s="151">
        <f t="shared" si="6"/>
        <v>141011.59699999998</v>
      </c>
      <c r="H52" s="152">
        <v>3045850.4951999998</v>
      </c>
      <c r="I52" s="151">
        <f t="shared" si="7"/>
        <v>140481.97199999998</v>
      </c>
      <c r="J52" s="152">
        <v>3034410.5951999999</v>
      </c>
      <c r="K52" s="112" t="s">
        <v>30</v>
      </c>
    </row>
    <row r="53" spans="1:11">
      <c r="A53" s="62" t="s">
        <v>47</v>
      </c>
      <c r="B53" s="63">
        <v>37.549999999999997</v>
      </c>
      <c r="C53" s="151">
        <f t="shared" si="4"/>
        <v>120208.98625</v>
      </c>
      <c r="D53" s="152">
        <v>4513847.4336874997</v>
      </c>
      <c r="E53" s="151">
        <f t="shared" si="5"/>
        <v>120737.55200000003</v>
      </c>
      <c r="F53" s="152">
        <v>4533695.0776000004</v>
      </c>
      <c r="G53" s="151">
        <f t="shared" si="6"/>
        <v>121267.17700000003</v>
      </c>
      <c r="H53" s="152">
        <v>4553582.4963500006</v>
      </c>
      <c r="I53" s="151">
        <f t="shared" si="7"/>
        <v>120737.55200000003</v>
      </c>
      <c r="J53" s="152">
        <v>4533695.0776000004</v>
      </c>
      <c r="K53" s="25" t="s">
        <v>48</v>
      </c>
    </row>
    <row r="54" spans="1:11">
      <c r="A54" s="62" t="s">
        <v>49</v>
      </c>
      <c r="B54" s="63">
        <v>56.58</v>
      </c>
      <c r="C54" s="151">
        <f t="shared" si="4"/>
        <v>103174.12775</v>
      </c>
      <c r="D54" s="152">
        <v>5837592.1480949996</v>
      </c>
      <c r="E54" s="151">
        <f t="shared" si="5"/>
        <v>103703.75275</v>
      </c>
      <c r="F54" s="152">
        <v>5867558.3305949997</v>
      </c>
      <c r="G54" s="151">
        <f t="shared" si="6"/>
        <v>104233.37775</v>
      </c>
      <c r="H54" s="152">
        <v>5897524.5130949998</v>
      </c>
      <c r="I54" s="151">
        <f t="shared" si="7"/>
        <v>103703.75275</v>
      </c>
      <c r="J54" s="152">
        <v>5867558.3305949997</v>
      </c>
      <c r="K54" s="25" t="s">
        <v>48</v>
      </c>
    </row>
    <row r="55" spans="1:11" ht="15.75" thickBot="1">
      <c r="A55" s="68" t="s">
        <v>49</v>
      </c>
      <c r="B55" s="69">
        <v>58.22</v>
      </c>
      <c r="C55" s="149">
        <f t="shared" si="4"/>
        <v>102460.19325000001</v>
      </c>
      <c r="D55" s="150">
        <v>5965232.4510150002</v>
      </c>
      <c r="E55" s="149">
        <f t="shared" si="5"/>
        <v>102989.81825000001</v>
      </c>
      <c r="F55" s="150">
        <v>5996067.2185150003</v>
      </c>
      <c r="G55" s="149">
        <f t="shared" si="6"/>
        <v>103519.44325</v>
      </c>
      <c r="H55" s="150">
        <v>6026901.9860149994</v>
      </c>
      <c r="I55" s="149">
        <f t="shared" si="7"/>
        <v>102989.81825000001</v>
      </c>
      <c r="J55" s="106">
        <v>5996067.2185150003</v>
      </c>
      <c r="K55" s="18" t="s">
        <v>48</v>
      </c>
    </row>
    <row r="56" spans="1:11">
      <c r="A56" s="67" t="s">
        <v>50</v>
      </c>
      <c r="B56" s="71">
        <v>21.6</v>
      </c>
      <c r="C56" s="153">
        <f t="shared" si="4"/>
        <v>149759.94274999999</v>
      </c>
      <c r="D56" s="154">
        <v>3234814.7634000001</v>
      </c>
      <c r="E56" s="153">
        <f t="shared" si="5"/>
        <v>150289.56774999999</v>
      </c>
      <c r="F56" s="154">
        <v>3246254.6634</v>
      </c>
      <c r="G56" s="145">
        <f t="shared" si="6"/>
        <v>150819.19275000002</v>
      </c>
      <c r="H56" s="152">
        <v>3257694.5634000003</v>
      </c>
      <c r="I56" s="153">
        <f t="shared" si="7"/>
        <v>150289.56774999999</v>
      </c>
      <c r="J56" s="155">
        <v>3246254.6634</v>
      </c>
      <c r="K56" s="82" t="s">
        <v>48</v>
      </c>
    </row>
    <row r="57" spans="1:11">
      <c r="A57" s="62" t="s">
        <v>51</v>
      </c>
      <c r="B57" s="72">
        <v>37.549999999999997</v>
      </c>
      <c r="C57" s="156">
        <f t="shared" si="4"/>
        <v>120208.98625</v>
      </c>
      <c r="D57" s="154">
        <v>4513847.4336874997</v>
      </c>
      <c r="E57" s="156">
        <f t="shared" si="5"/>
        <v>120738.61125</v>
      </c>
      <c r="F57" s="154">
        <v>4533734.8524374999</v>
      </c>
      <c r="G57" s="151">
        <f t="shared" si="6"/>
        <v>121267.17700000003</v>
      </c>
      <c r="H57" s="152">
        <v>4553582.4963500006</v>
      </c>
      <c r="I57" s="156">
        <f t="shared" si="7"/>
        <v>120737.55200000003</v>
      </c>
      <c r="J57" s="107">
        <v>4533695.0776000004</v>
      </c>
      <c r="K57" s="82" t="s">
        <v>48</v>
      </c>
    </row>
    <row r="58" spans="1:11">
      <c r="A58" s="62" t="s">
        <v>52</v>
      </c>
      <c r="B58" s="72">
        <v>56.58</v>
      </c>
      <c r="C58" s="156">
        <f t="shared" si="4"/>
        <v>103174.12775</v>
      </c>
      <c r="D58" s="154">
        <v>5837592.1480949996</v>
      </c>
      <c r="E58" s="156">
        <f t="shared" si="5"/>
        <v>103703.75275</v>
      </c>
      <c r="F58" s="154">
        <v>5867558.3305949997</v>
      </c>
      <c r="G58" s="151">
        <f t="shared" si="6"/>
        <v>104233.37775</v>
      </c>
      <c r="H58" s="152">
        <v>5897524.5130949998</v>
      </c>
      <c r="I58" s="156">
        <f t="shared" si="7"/>
        <v>103703.75275</v>
      </c>
      <c r="J58" s="107">
        <v>5867558.3305949997</v>
      </c>
      <c r="K58" s="82" t="s">
        <v>48</v>
      </c>
    </row>
    <row r="59" spans="1:11" ht="15.75" thickBot="1">
      <c r="A59" s="68" t="s">
        <v>52</v>
      </c>
      <c r="B59" s="73">
        <v>58.22</v>
      </c>
      <c r="C59" s="157">
        <f t="shared" si="4"/>
        <v>102460.19325000001</v>
      </c>
      <c r="D59" s="158">
        <v>5965232.4510150002</v>
      </c>
      <c r="E59" s="157">
        <f t="shared" si="5"/>
        <v>102989.81825000001</v>
      </c>
      <c r="F59" s="158">
        <v>5996067.2185150003</v>
      </c>
      <c r="G59" s="149">
        <f t="shared" si="6"/>
        <v>103519.44325</v>
      </c>
      <c r="H59" s="150">
        <v>6026901.9860149994</v>
      </c>
      <c r="I59" s="157">
        <f t="shared" si="7"/>
        <v>102989.81825000001</v>
      </c>
      <c r="J59" s="106">
        <v>5996067.2185150003</v>
      </c>
      <c r="K59" s="83" t="s">
        <v>48</v>
      </c>
    </row>
    <row r="60" spans="1:11">
      <c r="A60" s="62" t="s">
        <v>53</v>
      </c>
      <c r="B60" s="74">
        <v>35.67</v>
      </c>
      <c r="C60" s="153">
        <f t="shared" si="4"/>
        <v>111349.41924999999</v>
      </c>
      <c r="D60" s="159">
        <v>3971833.7846474997</v>
      </c>
      <c r="E60" s="153">
        <f t="shared" si="5"/>
        <v>111879.04424999999</v>
      </c>
      <c r="F60" s="159">
        <v>3990725.5083975</v>
      </c>
      <c r="G60" s="145">
        <f t="shared" si="6"/>
        <v>112408.66924999999</v>
      </c>
      <c r="H60" s="155">
        <v>4009617.2321474999</v>
      </c>
      <c r="I60" s="153">
        <f t="shared" si="7"/>
        <v>111879.04424999999</v>
      </c>
      <c r="J60" s="155">
        <v>3990725.5083975</v>
      </c>
      <c r="K60" s="139" t="s">
        <v>30</v>
      </c>
    </row>
    <row r="61" spans="1:11" ht="15.75" thickBot="1">
      <c r="A61" s="68" t="s">
        <v>53</v>
      </c>
      <c r="B61" s="75">
        <v>37.090000000000003</v>
      </c>
      <c r="C61" s="160">
        <f t="shared" si="4"/>
        <v>110460.70849999998</v>
      </c>
      <c r="D61" s="161">
        <v>4096987.6782649998</v>
      </c>
      <c r="E61" s="160">
        <f t="shared" si="5"/>
        <v>110990.33349999999</v>
      </c>
      <c r="F61" s="161">
        <v>4116631.469515</v>
      </c>
      <c r="G61" s="144">
        <f t="shared" si="6"/>
        <v>111519.95849999998</v>
      </c>
      <c r="H61" s="162">
        <v>4136275.2607649998</v>
      </c>
      <c r="I61" s="160">
        <f t="shared" si="7"/>
        <v>110990.33349999999</v>
      </c>
      <c r="J61" s="162">
        <v>4116631.469515</v>
      </c>
      <c r="K61" s="140" t="s">
        <v>30</v>
      </c>
    </row>
    <row r="63" spans="1:11" ht="19.5" thickBot="1">
      <c r="A63" s="164" t="s">
        <v>119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.75" thickBot="1">
      <c r="A64" s="59" t="s">
        <v>21</v>
      </c>
      <c r="B64" s="60" t="s">
        <v>22</v>
      </c>
      <c r="C64" s="61" t="s">
        <v>23</v>
      </c>
      <c r="D64" s="60" t="s">
        <v>24</v>
      </c>
      <c r="E64" s="61" t="s">
        <v>25</v>
      </c>
      <c r="F64" s="60" t="s">
        <v>24</v>
      </c>
      <c r="G64" s="61" t="s">
        <v>26</v>
      </c>
      <c r="H64" s="60" t="s">
        <v>24</v>
      </c>
      <c r="I64" s="61" t="s">
        <v>27</v>
      </c>
      <c r="J64" s="60" t="s">
        <v>24</v>
      </c>
      <c r="K64" s="76" t="s">
        <v>28</v>
      </c>
    </row>
    <row r="65" spans="1:11">
      <c r="A65" s="62" t="s">
        <v>29</v>
      </c>
      <c r="B65" s="63">
        <v>56.58</v>
      </c>
      <c r="C65" s="141">
        <f>D65/B65</f>
        <v>91775.700000000012</v>
      </c>
      <c r="D65" s="142">
        <v>5192669.1060000006</v>
      </c>
      <c r="E65" s="141">
        <f>F65/B65</f>
        <v>92288.700000000012</v>
      </c>
      <c r="F65" s="142">
        <v>5221694.6460000006</v>
      </c>
      <c r="G65" s="141">
        <f>H65/B65</f>
        <v>92801.700000000012</v>
      </c>
      <c r="H65" s="142">
        <v>5250720.1860000007</v>
      </c>
      <c r="I65" s="141">
        <f>J65/B65</f>
        <v>92288.700000000012</v>
      </c>
      <c r="J65" s="142">
        <v>5221694.6460000006</v>
      </c>
      <c r="K65" s="15" t="s">
        <v>30</v>
      </c>
    </row>
    <row r="66" spans="1:11" ht="15.75" thickBot="1">
      <c r="A66" s="62" t="s">
        <v>29</v>
      </c>
      <c r="B66" s="64">
        <v>58.22</v>
      </c>
      <c r="C66" s="141">
        <f t="shared" ref="C66:C92" si="8">D66/B66</f>
        <v>91314</v>
      </c>
      <c r="D66" s="143">
        <v>5316301.08</v>
      </c>
      <c r="E66" s="144">
        <f t="shared" ref="E66:E92" si="9">F66/B66</f>
        <v>91827.000000000015</v>
      </c>
      <c r="F66" s="143">
        <v>5346167.9400000004</v>
      </c>
      <c r="G66" s="144">
        <f t="shared" ref="G66:G92" si="10">H66/B66</f>
        <v>92340.000000000015</v>
      </c>
      <c r="H66" s="143">
        <v>5376034.8000000007</v>
      </c>
      <c r="I66" s="144">
        <f t="shared" ref="I66:I92" si="11">J66/B66</f>
        <v>91827.000000000015</v>
      </c>
      <c r="J66" s="143">
        <v>5346167.9400000004</v>
      </c>
      <c r="K66" s="79" t="s">
        <v>30</v>
      </c>
    </row>
    <row r="67" spans="1:11">
      <c r="A67" s="65" t="s">
        <v>31</v>
      </c>
      <c r="B67" s="66">
        <v>21.6</v>
      </c>
      <c r="C67" s="145">
        <f t="shared" si="8"/>
        <v>134210.03400000001</v>
      </c>
      <c r="D67" s="146">
        <v>2898936.7344000004</v>
      </c>
      <c r="E67" s="145">
        <f t="shared" si="9"/>
        <v>134723.03400000001</v>
      </c>
      <c r="F67" s="146">
        <v>2910017.5344000002</v>
      </c>
      <c r="G67" s="145">
        <f t="shared" si="10"/>
        <v>135236.03400000001</v>
      </c>
      <c r="H67" s="146">
        <v>2921098.3344000005</v>
      </c>
      <c r="I67" s="145">
        <f t="shared" si="11"/>
        <v>134723.03400000001</v>
      </c>
      <c r="J67" s="146">
        <v>2910017.5344000002</v>
      </c>
      <c r="K67" s="80" t="s">
        <v>30</v>
      </c>
    </row>
    <row r="68" spans="1:11">
      <c r="A68" s="67" t="s">
        <v>32</v>
      </c>
      <c r="B68" s="63">
        <v>37.549999999999997</v>
      </c>
      <c r="C68" s="147">
        <f t="shared" si="8"/>
        <v>105504.60600000001</v>
      </c>
      <c r="D68" s="148">
        <v>3961697.9553000005</v>
      </c>
      <c r="E68" s="147">
        <f t="shared" si="9"/>
        <v>106017.60600000001</v>
      </c>
      <c r="F68" s="148">
        <v>3980961.1053000004</v>
      </c>
      <c r="G68" s="147">
        <f t="shared" si="10"/>
        <v>106530.60600000001</v>
      </c>
      <c r="H68" s="148">
        <v>4000224.2553000003</v>
      </c>
      <c r="I68" s="147">
        <f t="shared" si="11"/>
        <v>106017.60600000001</v>
      </c>
      <c r="J68" s="148">
        <v>3980961.1053000004</v>
      </c>
      <c r="K68" s="15" t="s">
        <v>30</v>
      </c>
    </row>
    <row r="69" spans="1:11">
      <c r="A69" s="62" t="s">
        <v>33</v>
      </c>
      <c r="B69" s="63">
        <v>56.58</v>
      </c>
      <c r="C69" s="141">
        <f t="shared" si="8"/>
        <v>91775.700000000012</v>
      </c>
      <c r="D69" s="142">
        <v>5192669.1060000006</v>
      </c>
      <c r="E69" s="141">
        <f t="shared" si="9"/>
        <v>92288.700000000012</v>
      </c>
      <c r="F69" s="142">
        <v>5221694.6460000006</v>
      </c>
      <c r="G69" s="141">
        <f t="shared" si="10"/>
        <v>92801.700000000012</v>
      </c>
      <c r="H69" s="142">
        <v>5250720.1860000007</v>
      </c>
      <c r="I69" s="141">
        <f t="shared" si="11"/>
        <v>92288.700000000012</v>
      </c>
      <c r="J69" s="142">
        <v>5221694.6460000006</v>
      </c>
      <c r="K69" s="15" t="s">
        <v>30</v>
      </c>
    </row>
    <row r="70" spans="1:11" ht="15.75" thickBot="1">
      <c r="A70" s="68" t="s">
        <v>34</v>
      </c>
      <c r="B70" s="69">
        <v>58.22</v>
      </c>
      <c r="C70" s="149">
        <f t="shared" si="8"/>
        <v>91314</v>
      </c>
      <c r="D70" s="150">
        <v>5316301.08</v>
      </c>
      <c r="E70" s="149">
        <f t="shared" si="9"/>
        <v>91827.000000000015</v>
      </c>
      <c r="F70" s="150">
        <v>5346167.9400000004</v>
      </c>
      <c r="G70" s="149">
        <f t="shared" si="10"/>
        <v>92340.000000000015</v>
      </c>
      <c r="H70" s="106">
        <v>5376034.8000000007</v>
      </c>
      <c r="I70" s="144">
        <f t="shared" si="11"/>
        <v>91827.000000000015</v>
      </c>
      <c r="J70" s="143">
        <v>5346167.9400000004</v>
      </c>
      <c r="K70" s="79" t="s">
        <v>30</v>
      </c>
    </row>
    <row r="71" spans="1:11">
      <c r="A71" s="65" t="s">
        <v>35</v>
      </c>
      <c r="B71" s="66">
        <v>21.6</v>
      </c>
      <c r="C71" s="145">
        <f t="shared" si="8"/>
        <v>134210.03400000001</v>
      </c>
      <c r="D71" s="146">
        <v>2898936.7344000004</v>
      </c>
      <c r="E71" s="145">
        <f t="shared" si="9"/>
        <v>134723.03400000001</v>
      </c>
      <c r="F71" s="146">
        <v>2910017.5344000002</v>
      </c>
      <c r="G71" s="145">
        <f t="shared" si="10"/>
        <v>135236.03400000001</v>
      </c>
      <c r="H71" s="146">
        <v>2921098.3344000005</v>
      </c>
      <c r="I71" s="145">
        <f t="shared" si="11"/>
        <v>134723.03400000001</v>
      </c>
      <c r="J71" s="146">
        <v>2910017.5344000002</v>
      </c>
      <c r="K71" s="137" t="s">
        <v>30</v>
      </c>
    </row>
    <row r="72" spans="1:11">
      <c r="A72" s="67" t="s">
        <v>36</v>
      </c>
      <c r="B72" s="63">
        <v>37.549999999999997</v>
      </c>
      <c r="C72" s="147">
        <f t="shared" si="8"/>
        <v>105504.60600000001</v>
      </c>
      <c r="D72" s="148">
        <v>3961697.9553000005</v>
      </c>
      <c r="E72" s="147">
        <f t="shared" si="9"/>
        <v>106017.60600000001</v>
      </c>
      <c r="F72" s="148">
        <v>3980961.1053000004</v>
      </c>
      <c r="G72" s="147">
        <f t="shared" si="10"/>
        <v>106530.60600000001</v>
      </c>
      <c r="H72" s="148">
        <v>4000224.2553000003</v>
      </c>
      <c r="I72" s="147">
        <f t="shared" si="11"/>
        <v>106017.60600000001</v>
      </c>
      <c r="J72" s="148">
        <v>3980961.1053000004</v>
      </c>
      <c r="K72" s="111" t="s">
        <v>30</v>
      </c>
    </row>
    <row r="73" spans="1:11">
      <c r="A73" s="62" t="s">
        <v>37</v>
      </c>
      <c r="B73" s="63">
        <v>56.58</v>
      </c>
      <c r="C73" s="141">
        <f t="shared" si="8"/>
        <v>91775.700000000012</v>
      </c>
      <c r="D73" s="142">
        <v>5192669.1060000006</v>
      </c>
      <c r="E73" s="141">
        <f t="shared" si="9"/>
        <v>92288.700000000012</v>
      </c>
      <c r="F73" s="142">
        <v>5221694.6460000006</v>
      </c>
      <c r="G73" s="141">
        <f t="shared" si="10"/>
        <v>92801.700000000012</v>
      </c>
      <c r="H73" s="142">
        <v>5250720.1860000007</v>
      </c>
      <c r="I73" s="141">
        <f t="shared" si="11"/>
        <v>92288.700000000012</v>
      </c>
      <c r="J73" s="142">
        <v>5221694.6460000006</v>
      </c>
      <c r="K73" s="111" t="s">
        <v>30</v>
      </c>
    </row>
    <row r="74" spans="1:11" ht="15.75" thickBot="1">
      <c r="A74" s="68" t="s">
        <v>38</v>
      </c>
      <c r="B74" s="69">
        <v>58.22</v>
      </c>
      <c r="C74" s="149">
        <f t="shared" si="8"/>
        <v>91314</v>
      </c>
      <c r="D74" s="150">
        <v>5316301.08</v>
      </c>
      <c r="E74" s="149">
        <f t="shared" si="9"/>
        <v>91827.000000000015</v>
      </c>
      <c r="F74" s="150">
        <v>5346167.9400000004</v>
      </c>
      <c r="G74" s="149">
        <f t="shared" si="10"/>
        <v>92340.000000000015</v>
      </c>
      <c r="H74" s="106">
        <v>5376034.8000000007</v>
      </c>
      <c r="I74" s="144">
        <f t="shared" si="11"/>
        <v>91827.000000000015</v>
      </c>
      <c r="J74" s="143">
        <v>5346167.9400000004</v>
      </c>
      <c r="K74" s="138" t="s">
        <v>30</v>
      </c>
    </row>
    <row r="75" spans="1:11">
      <c r="A75" s="67" t="s">
        <v>39</v>
      </c>
      <c r="B75" s="70">
        <v>21.6</v>
      </c>
      <c r="C75" s="151">
        <f t="shared" si="8"/>
        <v>147162.258</v>
      </c>
      <c r="D75" s="152">
        <v>3178704.7728000004</v>
      </c>
      <c r="E75" s="151">
        <f t="shared" si="9"/>
        <v>147675.258</v>
      </c>
      <c r="F75" s="152">
        <v>3189785.5728000002</v>
      </c>
      <c r="G75" s="151">
        <f t="shared" si="10"/>
        <v>148188.258</v>
      </c>
      <c r="H75" s="152">
        <v>3200866.3728000005</v>
      </c>
      <c r="I75" s="151">
        <f t="shared" si="11"/>
        <v>147675.258</v>
      </c>
      <c r="J75" s="152">
        <v>3189785.5728000002</v>
      </c>
      <c r="K75" s="112" t="s">
        <v>30</v>
      </c>
    </row>
    <row r="76" spans="1:11">
      <c r="A76" s="62" t="s">
        <v>41</v>
      </c>
      <c r="B76" s="63">
        <v>37.549999999999997</v>
      </c>
      <c r="C76" s="151">
        <f t="shared" si="8"/>
        <v>118333.71000000002</v>
      </c>
      <c r="D76" s="152">
        <v>4443430.8105000006</v>
      </c>
      <c r="E76" s="151">
        <f t="shared" si="9"/>
        <v>118846.71</v>
      </c>
      <c r="F76" s="152">
        <v>4462693.9605</v>
      </c>
      <c r="G76" s="151">
        <f t="shared" si="10"/>
        <v>119359.71000000002</v>
      </c>
      <c r="H76" s="152">
        <v>4481957.1105000004</v>
      </c>
      <c r="I76" s="151">
        <f t="shared" si="11"/>
        <v>118846.71</v>
      </c>
      <c r="J76" s="152">
        <v>4462693.9605</v>
      </c>
      <c r="K76" s="25" t="s">
        <v>40</v>
      </c>
    </row>
    <row r="77" spans="1:11">
      <c r="A77" s="62" t="s">
        <v>42</v>
      </c>
      <c r="B77" s="63">
        <v>56.58</v>
      </c>
      <c r="C77" s="151">
        <f t="shared" si="8"/>
        <v>102141.37800000001</v>
      </c>
      <c r="D77" s="152">
        <v>5779159.1672400003</v>
      </c>
      <c r="E77" s="151">
        <f t="shared" si="9"/>
        <v>102654.37800000001</v>
      </c>
      <c r="F77" s="152">
        <v>5808184.7072400004</v>
      </c>
      <c r="G77" s="151">
        <f t="shared" si="10"/>
        <v>103167.37800000001</v>
      </c>
      <c r="H77" s="152">
        <v>5837210.2472400004</v>
      </c>
      <c r="I77" s="151">
        <f t="shared" si="11"/>
        <v>102654.37800000001</v>
      </c>
      <c r="J77" s="152">
        <v>5808184.7072400004</v>
      </c>
      <c r="K77" s="25" t="s">
        <v>40</v>
      </c>
    </row>
    <row r="78" spans="1:11" ht="15.75" thickBot="1">
      <c r="A78" s="68" t="s">
        <v>42</v>
      </c>
      <c r="B78" s="69">
        <v>58.22</v>
      </c>
      <c r="C78" s="149">
        <f t="shared" si="8"/>
        <v>101449.85400000001</v>
      </c>
      <c r="D78" s="150">
        <v>5906410.49988</v>
      </c>
      <c r="E78" s="149">
        <f t="shared" si="9"/>
        <v>102475.85399999999</v>
      </c>
      <c r="F78" s="150">
        <v>5966144.2198799998</v>
      </c>
      <c r="G78" s="149">
        <f t="shared" si="10"/>
        <v>102475.85399999999</v>
      </c>
      <c r="H78" s="150">
        <v>5966144.2198799998</v>
      </c>
      <c r="I78" s="149">
        <f t="shared" si="11"/>
        <v>101962.85400000001</v>
      </c>
      <c r="J78" s="106">
        <v>5936277.3598800004</v>
      </c>
      <c r="K78" s="18" t="s">
        <v>40</v>
      </c>
    </row>
    <row r="79" spans="1:11">
      <c r="A79" s="67" t="s">
        <v>43</v>
      </c>
      <c r="B79" s="70">
        <v>21.6</v>
      </c>
      <c r="C79" s="151">
        <f t="shared" si="8"/>
        <v>135559.22399999999</v>
      </c>
      <c r="D79" s="152">
        <v>2928079.2384000001</v>
      </c>
      <c r="E79" s="151">
        <f t="shared" si="9"/>
        <v>136072.22399999999</v>
      </c>
      <c r="F79" s="152">
        <v>2939160.0384</v>
      </c>
      <c r="G79" s="151">
        <f t="shared" si="10"/>
        <v>136585.22400000002</v>
      </c>
      <c r="H79" s="152">
        <v>2950240.8384000002</v>
      </c>
      <c r="I79" s="151">
        <f t="shared" si="11"/>
        <v>136072.22399999999</v>
      </c>
      <c r="J79" s="152">
        <v>2939160.0384</v>
      </c>
      <c r="K79" s="112" t="s">
        <v>30</v>
      </c>
    </row>
    <row r="80" spans="1:11">
      <c r="A80" s="62" t="s">
        <v>44</v>
      </c>
      <c r="B80" s="63">
        <v>37.549999999999997</v>
      </c>
      <c r="C80" s="151">
        <f t="shared" si="8"/>
        <v>110970.10800000001</v>
      </c>
      <c r="D80" s="152">
        <v>4166927.5554</v>
      </c>
      <c r="E80" s="151">
        <f t="shared" si="9"/>
        <v>111483.10800000002</v>
      </c>
      <c r="F80" s="152">
        <v>4186190.7054000003</v>
      </c>
      <c r="G80" s="151">
        <f t="shared" si="10"/>
        <v>111996.10800000001</v>
      </c>
      <c r="H80" s="152">
        <v>4205453.8553999998</v>
      </c>
      <c r="I80" s="151">
        <f t="shared" si="11"/>
        <v>111483.10800000002</v>
      </c>
      <c r="J80" s="152">
        <v>4186190.7054000003</v>
      </c>
      <c r="K80" s="112" t="s">
        <v>30</v>
      </c>
    </row>
    <row r="81" spans="1:11">
      <c r="A81" s="62" t="s">
        <v>45</v>
      </c>
      <c r="B81" s="63">
        <v>56.58</v>
      </c>
      <c r="C81" s="151">
        <f t="shared" si="8"/>
        <v>97232.994000000021</v>
      </c>
      <c r="D81" s="152">
        <v>5501442.800520001</v>
      </c>
      <c r="E81" s="151">
        <f t="shared" si="9"/>
        <v>97745.994000000021</v>
      </c>
      <c r="F81" s="152">
        <v>5530468.340520001</v>
      </c>
      <c r="G81" s="151">
        <f t="shared" si="10"/>
        <v>98258.994000000021</v>
      </c>
      <c r="H81" s="152">
        <v>5559493.8805200011</v>
      </c>
      <c r="I81" s="151">
        <f t="shared" si="11"/>
        <v>97745.994000000021</v>
      </c>
      <c r="J81" s="152">
        <v>5530468.340520001</v>
      </c>
      <c r="K81" s="112" t="s">
        <v>30</v>
      </c>
    </row>
    <row r="82" spans="1:11" ht="15.75" thickBot="1">
      <c r="A82" s="68" t="s">
        <v>45</v>
      </c>
      <c r="B82" s="69">
        <v>58.22</v>
      </c>
      <c r="C82" s="149">
        <f t="shared" si="8"/>
        <v>96643.044000000024</v>
      </c>
      <c r="D82" s="150">
        <v>5626558.0216800012</v>
      </c>
      <c r="E82" s="149">
        <f t="shared" si="9"/>
        <v>97156.044000000009</v>
      </c>
      <c r="F82" s="150">
        <v>5656424.8816800006</v>
      </c>
      <c r="G82" s="149">
        <f t="shared" si="10"/>
        <v>97669.044000000024</v>
      </c>
      <c r="H82" s="150">
        <v>5686291.7416800009</v>
      </c>
      <c r="I82" s="149">
        <f t="shared" si="11"/>
        <v>97156.044000000009</v>
      </c>
      <c r="J82" s="106">
        <v>5656424.8816800006</v>
      </c>
      <c r="K82" s="113" t="s">
        <v>30</v>
      </c>
    </row>
    <row r="83" spans="1:11">
      <c r="A83" s="67" t="s">
        <v>46</v>
      </c>
      <c r="B83" s="70">
        <v>21.6</v>
      </c>
      <c r="C83" s="151">
        <f t="shared" si="8"/>
        <v>135559.22399999999</v>
      </c>
      <c r="D83" s="152">
        <v>2928079.2384000001</v>
      </c>
      <c r="E83" s="151">
        <f t="shared" si="9"/>
        <v>136072.22399999999</v>
      </c>
      <c r="F83" s="152">
        <v>2939160.0384</v>
      </c>
      <c r="G83" s="151">
        <f t="shared" si="10"/>
        <v>136585.22400000002</v>
      </c>
      <c r="H83" s="152">
        <v>2950240.8384000002</v>
      </c>
      <c r="I83" s="151">
        <f t="shared" si="11"/>
        <v>136072.22399999999</v>
      </c>
      <c r="J83" s="152">
        <v>2939160.0384</v>
      </c>
      <c r="K83" s="112" t="s">
        <v>30</v>
      </c>
    </row>
    <row r="84" spans="1:11">
      <c r="A84" s="62" t="s">
        <v>47</v>
      </c>
      <c r="B84" s="63">
        <v>37.549999999999997</v>
      </c>
      <c r="C84" s="151">
        <f t="shared" si="8"/>
        <v>116435.61000000002</v>
      </c>
      <c r="D84" s="152">
        <v>4372157.1555000003</v>
      </c>
      <c r="E84" s="151">
        <f t="shared" si="9"/>
        <v>116947.58400000003</v>
      </c>
      <c r="F84" s="152">
        <v>4391381.7792000007</v>
      </c>
      <c r="G84" s="151">
        <f t="shared" si="10"/>
        <v>117460.58400000002</v>
      </c>
      <c r="H84" s="152">
        <v>4410644.9292000001</v>
      </c>
      <c r="I84" s="151">
        <f t="shared" si="11"/>
        <v>116947.58400000003</v>
      </c>
      <c r="J84" s="152">
        <v>4391381.7792000007</v>
      </c>
      <c r="K84" s="25" t="s">
        <v>48</v>
      </c>
    </row>
    <row r="85" spans="1:11">
      <c r="A85" s="62" t="s">
        <v>49</v>
      </c>
      <c r="B85" s="63">
        <v>56.58</v>
      </c>
      <c r="C85" s="151">
        <f t="shared" si="8"/>
        <v>99935.478000000017</v>
      </c>
      <c r="D85" s="152">
        <v>5654349.3452400006</v>
      </c>
      <c r="E85" s="151">
        <f t="shared" si="9"/>
        <v>100448.47800000002</v>
      </c>
      <c r="F85" s="152">
        <v>5683374.8852400007</v>
      </c>
      <c r="G85" s="151">
        <f t="shared" si="10"/>
        <v>100961.47800000002</v>
      </c>
      <c r="H85" s="152">
        <v>5712400.4252400007</v>
      </c>
      <c r="I85" s="151">
        <f t="shared" si="11"/>
        <v>100448.47800000002</v>
      </c>
      <c r="J85" s="152">
        <v>5683374.8852400007</v>
      </c>
      <c r="K85" s="25" t="s">
        <v>48</v>
      </c>
    </row>
    <row r="86" spans="1:11" ht="15.75" thickBot="1">
      <c r="A86" s="68" t="s">
        <v>49</v>
      </c>
      <c r="B86" s="69">
        <v>58.22</v>
      </c>
      <c r="C86" s="149">
        <f t="shared" si="8"/>
        <v>99243.954000000012</v>
      </c>
      <c r="D86" s="150">
        <v>5777983.0018800003</v>
      </c>
      <c r="E86" s="149">
        <f t="shared" si="9"/>
        <v>99756.954000000012</v>
      </c>
      <c r="F86" s="150">
        <v>5807849.8618800007</v>
      </c>
      <c r="G86" s="149">
        <f t="shared" si="10"/>
        <v>100269.954</v>
      </c>
      <c r="H86" s="150">
        <v>5837716.7218800001</v>
      </c>
      <c r="I86" s="149">
        <f t="shared" si="11"/>
        <v>99756.954000000012</v>
      </c>
      <c r="J86" s="106">
        <v>5807849.8618800007</v>
      </c>
      <c r="K86" s="18" t="s">
        <v>48</v>
      </c>
    </row>
    <row r="87" spans="1:11">
      <c r="A87" s="67" t="s">
        <v>50</v>
      </c>
      <c r="B87" s="71">
        <v>21.6</v>
      </c>
      <c r="C87" s="153">
        <f t="shared" si="8"/>
        <v>145058.95800000001</v>
      </c>
      <c r="D87" s="154">
        <v>3133273.4928000006</v>
      </c>
      <c r="E87" s="153">
        <f t="shared" si="9"/>
        <v>145571.95800000001</v>
      </c>
      <c r="F87" s="154">
        <v>3144354.2928000004</v>
      </c>
      <c r="G87" s="145">
        <f t="shared" si="10"/>
        <v>146084.95800000001</v>
      </c>
      <c r="H87" s="152">
        <v>3155435.0928000002</v>
      </c>
      <c r="I87" s="153">
        <f t="shared" si="11"/>
        <v>145571.95800000001</v>
      </c>
      <c r="J87" s="155">
        <v>3144354.2928000004</v>
      </c>
      <c r="K87" s="82" t="s">
        <v>48</v>
      </c>
    </row>
    <row r="88" spans="1:11">
      <c r="A88" s="62" t="s">
        <v>51</v>
      </c>
      <c r="B88" s="72">
        <v>37.549999999999997</v>
      </c>
      <c r="C88" s="156">
        <f t="shared" si="8"/>
        <v>116435.61000000002</v>
      </c>
      <c r="D88" s="154">
        <v>4372157.1555000003</v>
      </c>
      <c r="E88" s="156">
        <f t="shared" si="9"/>
        <v>116948.61000000003</v>
      </c>
      <c r="F88" s="154">
        <v>4391420.3055000007</v>
      </c>
      <c r="G88" s="151">
        <f t="shared" si="10"/>
        <v>117460.58400000002</v>
      </c>
      <c r="H88" s="152">
        <v>4410644.9292000001</v>
      </c>
      <c r="I88" s="156">
        <f t="shared" si="11"/>
        <v>116947.58400000003</v>
      </c>
      <c r="J88" s="107">
        <v>4391381.7792000007</v>
      </c>
      <c r="K88" s="82" t="s">
        <v>48</v>
      </c>
    </row>
    <row r="89" spans="1:11">
      <c r="A89" s="62" t="s">
        <v>52</v>
      </c>
      <c r="B89" s="72">
        <v>56.58</v>
      </c>
      <c r="C89" s="156">
        <f t="shared" si="8"/>
        <v>99935.478000000017</v>
      </c>
      <c r="D89" s="154">
        <v>5654349.3452400006</v>
      </c>
      <c r="E89" s="156">
        <f t="shared" si="9"/>
        <v>100448.47800000002</v>
      </c>
      <c r="F89" s="154">
        <v>5683374.8852400007</v>
      </c>
      <c r="G89" s="151">
        <f t="shared" si="10"/>
        <v>100961.47800000002</v>
      </c>
      <c r="H89" s="152">
        <v>5712400.4252400007</v>
      </c>
      <c r="I89" s="156">
        <f t="shared" si="11"/>
        <v>100448.47800000002</v>
      </c>
      <c r="J89" s="107">
        <v>5683374.8852400007</v>
      </c>
      <c r="K89" s="82" t="s">
        <v>48</v>
      </c>
    </row>
    <row r="90" spans="1:11" ht="15.75" thickBot="1">
      <c r="A90" s="68" t="s">
        <v>52</v>
      </c>
      <c r="B90" s="73">
        <v>58.22</v>
      </c>
      <c r="C90" s="157">
        <f t="shared" si="8"/>
        <v>99243.954000000012</v>
      </c>
      <c r="D90" s="158">
        <v>5777983.0018800003</v>
      </c>
      <c r="E90" s="157">
        <f t="shared" si="9"/>
        <v>99756.954000000012</v>
      </c>
      <c r="F90" s="158">
        <v>5807849.8618800007</v>
      </c>
      <c r="G90" s="149">
        <f t="shared" si="10"/>
        <v>100269.954</v>
      </c>
      <c r="H90" s="150">
        <v>5837716.7218800001</v>
      </c>
      <c r="I90" s="157">
        <f t="shared" si="11"/>
        <v>99756.954000000012</v>
      </c>
      <c r="J90" s="106">
        <v>5807849.8618800007</v>
      </c>
      <c r="K90" s="83" t="s">
        <v>48</v>
      </c>
    </row>
    <row r="91" spans="1:11">
      <c r="A91" s="62" t="s">
        <v>53</v>
      </c>
      <c r="B91" s="74">
        <v>35.67</v>
      </c>
      <c r="C91" s="153">
        <f t="shared" si="8"/>
        <v>107854.14600000001</v>
      </c>
      <c r="D91" s="159">
        <v>3847157.3878200003</v>
      </c>
      <c r="E91" s="153">
        <f t="shared" si="9"/>
        <v>108367.14600000001</v>
      </c>
      <c r="F91" s="159">
        <v>3865456.0978200003</v>
      </c>
      <c r="G91" s="145">
        <f t="shared" si="10"/>
        <v>108880.14600000001</v>
      </c>
      <c r="H91" s="155">
        <v>3883754.8078200002</v>
      </c>
      <c r="I91" s="153">
        <f t="shared" si="11"/>
        <v>108367.14600000001</v>
      </c>
      <c r="J91" s="155">
        <v>3865456.0978200003</v>
      </c>
      <c r="K91" s="139" t="s">
        <v>30</v>
      </c>
    </row>
    <row r="92" spans="1:11" ht="15.75" thickBot="1">
      <c r="A92" s="68" t="s">
        <v>53</v>
      </c>
      <c r="B92" s="75">
        <v>37.090000000000003</v>
      </c>
      <c r="C92" s="160">
        <f t="shared" si="8"/>
        <v>106993.33199999999</v>
      </c>
      <c r="D92" s="161">
        <v>3968382.6838799999</v>
      </c>
      <c r="E92" s="160">
        <f t="shared" si="9"/>
        <v>107506.33199999999</v>
      </c>
      <c r="F92" s="161">
        <v>3987409.8538800003</v>
      </c>
      <c r="G92" s="144">
        <f t="shared" si="10"/>
        <v>108019.33199999999</v>
      </c>
      <c r="H92" s="162">
        <v>4006437.0238800002</v>
      </c>
      <c r="I92" s="160">
        <f t="shared" si="11"/>
        <v>107506.33199999999</v>
      </c>
      <c r="J92" s="162">
        <v>3987409.8538800003</v>
      </c>
      <c r="K92" s="140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92"/>
  <sheetViews>
    <sheetView topLeftCell="A40" zoomScale="90" zoomScaleNormal="90" workbookViewId="0">
      <selection activeCell="G71" sqref="G71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42578125" customWidth="1"/>
    <col min="14" max="14" width="11.85546875" customWidth="1"/>
    <col min="15" max="15" width="10.140625" customWidth="1"/>
  </cols>
  <sheetData>
    <row r="1" spans="1:12" s="1" customFormat="1" ht="27.75" customHeight="1" thickBot="1">
      <c r="A1" s="164" t="s">
        <v>120</v>
      </c>
      <c r="E1" s="4"/>
      <c r="G1" s="4"/>
      <c r="H1" s="4"/>
      <c r="I1" s="4"/>
      <c r="J1" s="4"/>
      <c r="K1" s="4"/>
      <c r="L1" s="4"/>
    </row>
    <row r="2" spans="1:12" ht="45" customHeight="1" thickBot="1">
      <c r="A2" s="59" t="s">
        <v>21</v>
      </c>
      <c r="B2" s="60" t="s">
        <v>22</v>
      </c>
      <c r="C2" s="61" t="s">
        <v>23</v>
      </c>
      <c r="D2" s="60" t="s">
        <v>24</v>
      </c>
      <c r="E2" s="61" t="s">
        <v>25</v>
      </c>
      <c r="F2" s="60" t="s">
        <v>24</v>
      </c>
      <c r="G2" s="61" t="s">
        <v>26</v>
      </c>
      <c r="H2" s="60" t="s">
        <v>24</v>
      </c>
      <c r="I2" s="61" t="s">
        <v>27</v>
      </c>
      <c r="J2" s="60" t="s">
        <v>24</v>
      </c>
      <c r="K2" s="76" t="s">
        <v>28</v>
      </c>
      <c r="L2" s="77"/>
    </row>
    <row r="3" spans="1:12">
      <c r="A3" s="62" t="s">
        <v>29</v>
      </c>
      <c r="B3" s="63">
        <v>56.58</v>
      </c>
      <c r="C3" s="141">
        <f>D3/B3</f>
        <v>84977.5</v>
      </c>
      <c r="D3" s="142">
        <v>4808026.95</v>
      </c>
      <c r="E3" s="141">
        <f>F3/B3</f>
        <v>85452.5</v>
      </c>
      <c r="F3" s="142">
        <v>4834902.45</v>
      </c>
      <c r="G3" s="141">
        <f>H3/B3</f>
        <v>85927.5</v>
      </c>
      <c r="H3" s="142">
        <v>4861777.95</v>
      </c>
      <c r="I3" s="141">
        <f>J3/B3</f>
        <v>85452.5</v>
      </c>
      <c r="J3" s="142">
        <v>4834902.45</v>
      </c>
      <c r="K3" s="15" t="s">
        <v>30</v>
      </c>
      <c r="L3" s="78"/>
    </row>
    <row r="4" spans="1:12" ht="15.75" thickBot="1">
      <c r="A4" s="62" t="s">
        <v>29</v>
      </c>
      <c r="B4" s="64">
        <v>58.22</v>
      </c>
      <c r="C4" s="141">
        <f t="shared" ref="C4:C30" si="0">D4/B4</f>
        <v>84550</v>
      </c>
      <c r="D4" s="143">
        <v>4922501</v>
      </c>
      <c r="E4" s="144">
        <f t="shared" ref="E4:E30" si="1">F4/B4</f>
        <v>85025</v>
      </c>
      <c r="F4" s="143">
        <v>4950155.5</v>
      </c>
      <c r="G4" s="144">
        <f t="shared" ref="G4:G30" si="2">H4/B4</f>
        <v>85500</v>
      </c>
      <c r="H4" s="143">
        <v>4977810</v>
      </c>
      <c r="I4" s="144">
        <f t="shared" ref="I4:I30" si="3">J4/B4</f>
        <v>85025</v>
      </c>
      <c r="J4" s="143">
        <v>4950155.5</v>
      </c>
      <c r="K4" s="79" t="s">
        <v>30</v>
      </c>
      <c r="L4" s="78"/>
    </row>
    <row r="5" spans="1:12">
      <c r="A5" s="65" t="s">
        <v>31</v>
      </c>
      <c r="B5" s="66">
        <v>21.6</v>
      </c>
      <c r="C5" s="145">
        <f t="shared" si="0"/>
        <v>124268.55</v>
      </c>
      <c r="D5" s="146">
        <v>2684200.6800000002</v>
      </c>
      <c r="E5" s="145">
        <f t="shared" si="1"/>
        <v>124743.55</v>
      </c>
      <c r="F5" s="146">
        <v>2694460.68</v>
      </c>
      <c r="G5" s="145">
        <f t="shared" si="2"/>
        <v>125218.55</v>
      </c>
      <c r="H5" s="146">
        <v>2704720.68</v>
      </c>
      <c r="I5" s="145">
        <f t="shared" si="3"/>
        <v>124743.55</v>
      </c>
      <c r="J5" s="146">
        <v>2694460.68</v>
      </c>
      <c r="K5" s="80" t="s">
        <v>30</v>
      </c>
      <c r="L5" s="78"/>
    </row>
    <row r="6" spans="1:12">
      <c r="A6" s="67" t="s">
        <v>32</v>
      </c>
      <c r="B6" s="63">
        <v>37.549999999999997</v>
      </c>
      <c r="C6" s="147">
        <f t="shared" si="0"/>
        <v>97689.450000000012</v>
      </c>
      <c r="D6" s="148">
        <v>3668238.8475000001</v>
      </c>
      <c r="E6" s="147">
        <f t="shared" si="1"/>
        <v>98164.450000000012</v>
      </c>
      <c r="F6" s="148">
        <v>3686075.0975000001</v>
      </c>
      <c r="G6" s="147">
        <f t="shared" si="2"/>
        <v>98639.450000000012</v>
      </c>
      <c r="H6" s="148">
        <v>3703911.3475000001</v>
      </c>
      <c r="I6" s="147">
        <f t="shared" si="3"/>
        <v>98164.450000000012</v>
      </c>
      <c r="J6" s="148">
        <v>3686075.0975000001</v>
      </c>
      <c r="K6" s="15" t="s">
        <v>30</v>
      </c>
      <c r="L6" s="78"/>
    </row>
    <row r="7" spans="1:12">
      <c r="A7" s="62" t="s">
        <v>33</v>
      </c>
      <c r="B7" s="63">
        <v>56.58</v>
      </c>
      <c r="C7" s="141">
        <f t="shared" si="0"/>
        <v>84977.5</v>
      </c>
      <c r="D7" s="142">
        <v>4808026.95</v>
      </c>
      <c r="E7" s="141">
        <f t="shared" si="1"/>
        <v>85452.5</v>
      </c>
      <c r="F7" s="142">
        <v>4834902.45</v>
      </c>
      <c r="G7" s="141">
        <f t="shared" si="2"/>
        <v>85927.5</v>
      </c>
      <c r="H7" s="142">
        <v>4861777.95</v>
      </c>
      <c r="I7" s="141">
        <f t="shared" si="3"/>
        <v>85452.5</v>
      </c>
      <c r="J7" s="142">
        <v>4834902.45</v>
      </c>
      <c r="K7" s="15" t="s">
        <v>30</v>
      </c>
      <c r="L7" s="78"/>
    </row>
    <row r="8" spans="1:12" ht="15.75" thickBot="1">
      <c r="A8" s="68" t="s">
        <v>34</v>
      </c>
      <c r="B8" s="69">
        <v>58.22</v>
      </c>
      <c r="C8" s="149">
        <f t="shared" si="0"/>
        <v>84550</v>
      </c>
      <c r="D8" s="150">
        <v>4922501</v>
      </c>
      <c r="E8" s="149">
        <f t="shared" si="1"/>
        <v>85025</v>
      </c>
      <c r="F8" s="150">
        <v>4950155.5</v>
      </c>
      <c r="G8" s="149">
        <f t="shared" si="2"/>
        <v>85500</v>
      </c>
      <c r="H8" s="106">
        <v>4977810</v>
      </c>
      <c r="I8" s="144">
        <f t="shared" si="3"/>
        <v>85025</v>
      </c>
      <c r="J8" s="143">
        <v>4950155.5</v>
      </c>
      <c r="K8" s="79" t="s">
        <v>30</v>
      </c>
      <c r="L8" s="78"/>
    </row>
    <row r="9" spans="1:12">
      <c r="A9" s="65" t="s">
        <v>35</v>
      </c>
      <c r="B9" s="66">
        <v>21.6</v>
      </c>
      <c r="C9" s="145">
        <f t="shared" si="0"/>
        <v>124268.55</v>
      </c>
      <c r="D9" s="146">
        <v>2684200.6800000002</v>
      </c>
      <c r="E9" s="145">
        <f t="shared" si="1"/>
        <v>124743.55</v>
      </c>
      <c r="F9" s="146">
        <v>2694460.68</v>
      </c>
      <c r="G9" s="145">
        <f t="shared" si="2"/>
        <v>125218.55</v>
      </c>
      <c r="H9" s="146">
        <v>2704720.68</v>
      </c>
      <c r="I9" s="145">
        <f t="shared" si="3"/>
        <v>124743.55</v>
      </c>
      <c r="J9" s="146">
        <v>2694460.68</v>
      </c>
      <c r="K9" s="137" t="s">
        <v>30</v>
      </c>
      <c r="L9" s="78"/>
    </row>
    <row r="10" spans="1:12">
      <c r="A10" s="67" t="s">
        <v>36</v>
      </c>
      <c r="B10" s="63">
        <v>37.549999999999997</v>
      </c>
      <c r="C10" s="147">
        <f t="shared" si="0"/>
        <v>97689.450000000012</v>
      </c>
      <c r="D10" s="148">
        <v>3668238.8475000001</v>
      </c>
      <c r="E10" s="147">
        <f t="shared" si="1"/>
        <v>98164.450000000012</v>
      </c>
      <c r="F10" s="148">
        <v>3686075.0975000001</v>
      </c>
      <c r="G10" s="147">
        <f t="shared" si="2"/>
        <v>98639.450000000012</v>
      </c>
      <c r="H10" s="148">
        <v>3703911.3475000001</v>
      </c>
      <c r="I10" s="147">
        <f t="shared" si="3"/>
        <v>98164.450000000012</v>
      </c>
      <c r="J10" s="148">
        <v>3686075.0975000001</v>
      </c>
      <c r="K10" s="111" t="s">
        <v>30</v>
      </c>
      <c r="L10" s="78"/>
    </row>
    <row r="11" spans="1:12">
      <c r="A11" s="62" t="s">
        <v>37</v>
      </c>
      <c r="B11" s="63">
        <v>56.58</v>
      </c>
      <c r="C11" s="141">
        <f t="shared" si="0"/>
        <v>84977.5</v>
      </c>
      <c r="D11" s="142">
        <v>4808026.95</v>
      </c>
      <c r="E11" s="141">
        <f t="shared" si="1"/>
        <v>85452.5</v>
      </c>
      <c r="F11" s="142">
        <v>4834902.45</v>
      </c>
      <c r="G11" s="141">
        <f t="shared" si="2"/>
        <v>85927.5</v>
      </c>
      <c r="H11" s="142">
        <v>4861777.95</v>
      </c>
      <c r="I11" s="141">
        <f t="shared" si="3"/>
        <v>85452.5</v>
      </c>
      <c r="J11" s="142">
        <v>4834902.45</v>
      </c>
      <c r="K11" s="111" t="s">
        <v>30</v>
      </c>
      <c r="L11" s="78"/>
    </row>
    <row r="12" spans="1:12" ht="15.75" thickBot="1">
      <c r="A12" s="68" t="s">
        <v>38</v>
      </c>
      <c r="B12" s="69">
        <v>58.22</v>
      </c>
      <c r="C12" s="149">
        <f t="shared" si="0"/>
        <v>84550</v>
      </c>
      <c r="D12" s="150">
        <v>4922501</v>
      </c>
      <c r="E12" s="149">
        <f t="shared" si="1"/>
        <v>85025</v>
      </c>
      <c r="F12" s="150">
        <v>4950155.5</v>
      </c>
      <c r="G12" s="149">
        <f t="shared" si="2"/>
        <v>85500</v>
      </c>
      <c r="H12" s="106">
        <v>4977810</v>
      </c>
      <c r="I12" s="144">
        <f t="shared" si="3"/>
        <v>85025</v>
      </c>
      <c r="J12" s="143">
        <v>4950155.5</v>
      </c>
      <c r="K12" s="138" t="s">
        <v>30</v>
      </c>
      <c r="L12" s="78"/>
    </row>
    <row r="13" spans="1:12">
      <c r="A13" s="67" t="s">
        <v>39</v>
      </c>
      <c r="B13" s="70">
        <v>21.6</v>
      </c>
      <c r="C13" s="151">
        <f t="shared" si="0"/>
        <v>136261.35</v>
      </c>
      <c r="D13" s="152">
        <v>2943245.16</v>
      </c>
      <c r="E13" s="151">
        <f t="shared" si="1"/>
        <v>136736.35</v>
      </c>
      <c r="F13" s="152">
        <v>2953505.16</v>
      </c>
      <c r="G13" s="151">
        <f t="shared" si="2"/>
        <v>137211.35</v>
      </c>
      <c r="H13" s="152">
        <v>2963765.16</v>
      </c>
      <c r="I13" s="151">
        <f t="shared" si="3"/>
        <v>136736.35</v>
      </c>
      <c r="J13" s="152">
        <v>2953505.16</v>
      </c>
      <c r="K13" s="112" t="s">
        <v>30</v>
      </c>
      <c r="L13" s="78"/>
    </row>
    <row r="14" spans="1:12">
      <c r="A14" s="62" t="s">
        <v>41</v>
      </c>
      <c r="B14" s="63">
        <v>37.549999999999997</v>
      </c>
      <c r="C14" s="151">
        <f t="shared" si="0"/>
        <v>109568.25000000001</v>
      </c>
      <c r="D14" s="152">
        <v>4114287.7875000001</v>
      </c>
      <c r="E14" s="151">
        <f t="shared" si="1"/>
        <v>110043.25000000001</v>
      </c>
      <c r="F14" s="152">
        <v>4132124.0375000001</v>
      </c>
      <c r="G14" s="151">
        <f t="shared" si="2"/>
        <v>110518.25000000001</v>
      </c>
      <c r="H14" s="152">
        <v>4149960.2875000001</v>
      </c>
      <c r="I14" s="151">
        <f t="shared" si="3"/>
        <v>110043.25000000001</v>
      </c>
      <c r="J14" s="152">
        <v>4132124.0375000001</v>
      </c>
      <c r="K14" s="25" t="s">
        <v>40</v>
      </c>
      <c r="L14" s="81"/>
    </row>
    <row r="15" spans="1:12">
      <c r="A15" s="62" t="s">
        <v>42</v>
      </c>
      <c r="B15" s="63">
        <v>56.58</v>
      </c>
      <c r="C15" s="151">
        <f t="shared" si="0"/>
        <v>94575.35</v>
      </c>
      <c r="D15" s="152">
        <v>5351073.3030000003</v>
      </c>
      <c r="E15" s="151">
        <f t="shared" si="1"/>
        <v>95050.35</v>
      </c>
      <c r="F15" s="152">
        <v>5377948.8030000003</v>
      </c>
      <c r="G15" s="151">
        <f t="shared" si="2"/>
        <v>95525.35</v>
      </c>
      <c r="H15" s="152">
        <v>5404824.3030000003</v>
      </c>
      <c r="I15" s="151">
        <f t="shared" si="3"/>
        <v>95050.35</v>
      </c>
      <c r="J15" s="152">
        <v>5377948.8030000003</v>
      </c>
      <c r="K15" s="25" t="s">
        <v>40</v>
      </c>
      <c r="L15" s="78"/>
    </row>
    <row r="16" spans="1:12" ht="15.75" thickBot="1">
      <c r="A16" s="68" t="s">
        <v>42</v>
      </c>
      <c r="B16" s="69">
        <v>58.22</v>
      </c>
      <c r="C16" s="149">
        <f t="shared" si="0"/>
        <v>93935.049999999988</v>
      </c>
      <c r="D16" s="150">
        <v>5468898.6109999996</v>
      </c>
      <c r="E16" s="149">
        <f t="shared" si="1"/>
        <v>94885.049999999988</v>
      </c>
      <c r="F16" s="150">
        <v>5524207.6109999996</v>
      </c>
      <c r="G16" s="149">
        <f t="shared" si="2"/>
        <v>94885.049999999988</v>
      </c>
      <c r="H16" s="150">
        <v>5524207.6109999996</v>
      </c>
      <c r="I16" s="149">
        <f t="shared" si="3"/>
        <v>94410.049999999988</v>
      </c>
      <c r="J16" s="106">
        <v>5496553.1109999996</v>
      </c>
      <c r="K16" s="18" t="s">
        <v>40</v>
      </c>
      <c r="L16" s="78"/>
    </row>
    <row r="17" spans="1:12" ht="18.75" customHeight="1">
      <c r="A17" s="67" t="s">
        <v>43</v>
      </c>
      <c r="B17" s="70">
        <v>21.6</v>
      </c>
      <c r="C17" s="151">
        <f t="shared" si="0"/>
        <v>125517.79999999999</v>
      </c>
      <c r="D17" s="152">
        <v>2711184.48</v>
      </c>
      <c r="E17" s="151">
        <f t="shared" si="1"/>
        <v>125992.79999999999</v>
      </c>
      <c r="F17" s="152">
        <v>2721444.48</v>
      </c>
      <c r="G17" s="151">
        <f t="shared" si="2"/>
        <v>126467.79999999999</v>
      </c>
      <c r="H17" s="152">
        <v>2731704.48</v>
      </c>
      <c r="I17" s="151">
        <f t="shared" si="3"/>
        <v>125992.79999999999</v>
      </c>
      <c r="J17" s="152">
        <v>2721444.48</v>
      </c>
      <c r="K17" s="112" t="s">
        <v>30</v>
      </c>
      <c r="L17" s="78"/>
    </row>
    <row r="18" spans="1:12">
      <c r="A18" s="62" t="s">
        <v>44</v>
      </c>
      <c r="B18" s="63">
        <v>37.549999999999997</v>
      </c>
      <c r="C18" s="151">
        <f t="shared" si="0"/>
        <v>102750.1</v>
      </c>
      <c r="D18" s="152">
        <v>3858266.2549999999</v>
      </c>
      <c r="E18" s="151">
        <f t="shared" si="1"/>
        <v>103225.1</v>
      </c>
      <c r="F18" s="152">
        <v>3876102.5049999999</v>
      </c>
      <c r="G18" s="151">
        <f t="shared" si="2"/>
        <v>103700.1</v>
      </c>
      <c r="H18" s="152">
        <v>3893938.7549999999</v>
      </c>
      <c r="I18" s="151">
        <f t="shared" si="3"/>
        <v>103225.1</v>
      </c>
      <c r="J18" s="152">
        <v>3876102.5049999999</v>
      </c>
      <c r="K18" s="112" t="s">
        <v>30</v>
      </c>
      <c r="L18" s="78"/>
    </row>
    <row r="19" spans="1:12">
      <c r="A19" s="62" t="s">
        <v>45</v>
      </c>
      <c r="B19" s="63">
        <v>56.58</v>
      </c>
      <c r="C19" s="151">
        <f t="shared" si="0"/>
        <v>90030.55</v>
      </c>
      <c r="D19" s="152">
        <v>5093928.5190000003</v>
      </c>
      <c r="E19" s="151">
        <f t="shared" si="1"/>
        <v>90505.55</v>
      </c>
      <c r="F19" s="152">
        <v>5120804.0190000003</v>
      </c>
      <c r="G19" s="151">
        <f t="shared" si="2"/>
        <v>90980.55</v>
      </c>
      <c r="H19" s="152">
        <v>5147679.5190000003</v>
      </c>
      <c r="I19" s="151">
        <f t="shared" si="3"/>
        <v>90505.55</v>
      </c>
      <c r="J19" s="152">
        <v>5120804.0190000003</v>
      </c>
      <c r="K19" s="112" t="s">
        <v>30</v>
      </c>
      <c r="L19" s="78"/>
    </row>
    <row r="20" spans="1:12" ht="15.75" thickBot="1">
      <c r="A20" s="68" t="s">
        <v>45</v>
      </c>
      <c r="B20" s="69">
        <v>58.22</v>
      </c>
      <c r="C20" s="149">
        <f t="shared" si="0"/>
        <v>89484.3</v>
      </c>
      <c r="D20" s="150">
        <v>5209775.9460000005</v>
      </c>
      <c r="E20" s="149">
        <f t="shared" si="1"/>
        <v>89959.3</v>
      </c>
      <c r="F20" s="150">
        <v>5237430.4460000005</v>
      </c>
      <c r="G20" s="149">
        <f t="shared" si="2"/>
        <v>90434.3</v>
      </c>
      <c r="H20" s="150">
        <v>5265084.9460000005</v>
      </c>
      <c r="I20" s="149">
        <f t="shared" si="3"/>
        <v>89959.3</v>
      </c>
      <c r="J20" s="106">
        <v>5237430.4460000005</v>
      </c>
      <c r="K20" s="113" t="s">
        <v>30</v>
      </c>
      <c r="L20" s="78"/>
    </row>
    <row r="21" spans="1:12">
      <c r="A21" s="67" t="s">
        <v>46</v>
      </c>
      <c r="B21" s="70">
        <v>21.6</v>
      </c>
      <c r="C21" s="151">
        <f t="shared" si="0"/>
        <v>125517.79999999999</v>
      </c>
      <c r="D21" s="152">
        <v>2711184.48</v>
      </c>
      <c r="E21" s="151">
        <f t="shared" si="1"/>
        <v>125992.79999999999</v>
      </c>
      <c r="F21" s="152">
        <v>2721444.48</v>
      </c>
      <c r="G21" s="151">
        <f t="shared" si="2"/>
        <v>126467.79999999999</v>
      </c>
      <c r="H21" s="152">
        <v>2731704.48</v>
      </c>
      <c r="I21" s="151">
        <f t="shared" si="3"/>
        <v>125992.79999999999</v>
      </c>
      <c r="J21" s="152">
        <v>2721444.48</v>
      </c>
      <c r="K21" s="112" t="s">
        <v>30</v>
      </c>
      <c r="L21" s="78"/>
    </row>
    <row r="22" spans="1:12">
      <c r="A22" s="62" t="s">
        <v>47</v>
      </c>
      <c r="B22" s="63">
        <v>37.549999999999997</v>
      </c>
      <c r="C22" s="151">
        <f t="shared" si="0"/>
        <v>107810.75000000001</v>
      </c>
      <c r="D22" s="152">
        <v>4048293.6625000001</v>
      </c>
      <c r="E22" s="151">
        <f t="shared" si="1"/>
        <v>108284.80000000002</v>
      </c>
      <c r="F22" s="152">
        <v>4066094.24</v>
      </c>
      <c r="G22" s="151">
        <f t="shared" si="2"/>
        <v>108759.80000000002</v>
      </c>
      <c r="H22" s="152">
        <v>4083930.49</v>
      </c>
      <c r="I22" s="151">
        <f t="shared" si="3"/>
        <v>108284.80000000002</v>
      </c>
      <c r="J22" s="152">
        <v>4066094.24</v>
      </c>
      <c r="K22" s="25" t="s">
        <v>48</v>
      </c>
      <c r="L22" s="81"/>
    </row>
    <row r="23" spans="1:12">
      <c r="A23" s="62" t="s">
        <v>49</v>
      </c>
      <c r="B23" s="63">
        <v>56.58</v>
      </c>
      <c r="C23" s="151">
        <f t="shared" si="0"/>
        <v>92532.85</v>
      </c>
      <c r="D23" s="152">
        <v>5235508.6529999999</v>
      </c>
      <c r="E23" s="151">
        <f t="shared" si="1"/>
        <v>93007.85</v>
      </c>
      <c r="F23" s="152">
        <v>5262384.1529999999</v>
      </c>
      <c r="G23" s="151">
        <f t="shared" si="2"/>
        <v>93482.85</v>
      </c>
      <c r="H23" s="152">
        <v>5289259.6529999999</v>
      </c>
      <c r="I23" s="151">
        <f t="shared" si="3"/>
        <v>93007.85</v>
      </c>
      <c r="J23" s="152">
        <v>5262384.1529999999</v>
      </c>
      <c r="K23" s="25" t="s">
        <v>48</v>
      </c>
      <c r="L23" s="78"/>
    </row>
    <row r="24" spans="1:12" ht="16.5" customHeight="1" thickBot="1">
      <c r="A24" s="68" t="s">
        <v>49</v>
      </c>
      <c r="B24" s="69">
        <v>58.22</v>
      </c>
      <c r="C24" s="149">
        <f t="shared" si="0"/>
        <v>91892.55</v>
      </c>
      <c r="D24" s="150">
        <v>5349984.2609999999</v>
      </c>
      <c r="E24" s="149">
        <f t="shared" si="1"/>
        <v>92367.55</v>
      </c>
      <c r="F24" s="150">
        <v>5377638.7609999999</v>
      </c>
      <c r="G24" s="149">
        <f t="shared" si="2"/>
        <v>92842.55</v>
      </c>
      <c r="H24" s="150">
        <v>5405293.2609999999</v>
      </c>
      <c r="I24" s="149">
        <f t="shared" si="3"/>
        <v>92367.55</v>
      </c>
      <c r="J24" s="106">
        <v>5377638.7609999999</v>
      </c>
      <c r="K24" s="18" t="s">
        <v>48</v>
      </c>
      <c r="L24" s="78"/>
    </row>
    <row r="25" spans="1:12">
      <c r="A25" s="67" t="s">
        <v>50</v>
      </c>
      <c r="B25" s="71">
        <v>21.6</v>
      </c>
      <c r="C25" s="153">
        <f t="shared" si="0"/>
        <v>134313.85</v>
      </c>
      <c r="D25" s="154">
        <v>2901179.16</v>
      </c>
      <c r="E25" s="153">
        <f t="shared" si="1"/>
        <v>134788.85</v>
      </c>
      <c r="F25" s="154">
        <v>2911439.16</v>
      </c>
      <c r="G25" s="145">
        <f t="shared" si="2"/>
        <v>135263.85</v>
      </c>
      <c r="H25" s="152">
        <v>2921699.16</v>
      </c>
      <c r="I25" s="153">
        <f t="shared" si="3"/>
        <v>134788.85</v>
      </c>
      <c r="J25" s="155">
        <v>2911439.16</v>
      </c>
      <c r="K25" s="82" t="s">
        <v>48</v>
      </c>
      <c r="L25" s="78"/>
    </row>
    <row r="26" spans="1:12">
      <c r="A26" s="62" t="s">
        <v>51</v>
      </c>
      <c r="B26" s="72">
        <v>37.549999999999997</v>
      </c>
      <c r="C26" s="156">
        <f t="shared" si="0"/>
        <v>107810.75000000001</v>
      </c>
      <c r="D26" s="154">
        <v>4048293.6625000001</v>
      </c>
      <c r="E26" s="156">
        <f t="shared" si="1"/>
        <v>108285.75000000001</v>
      </c>
      <c r="F26" s="154">
        <v>4066129.9125000001</v>
      </c>
      <c r="G26" s="151">
        <f t="shared" si="2"/>
        <v>108759.80000000002</v>
      </c>
      <c r="H26" s="152">
        <v>4083930.49</v>
      </c>
      <c r="I26" s="156">
        <f t="shared" si="3"/>
        <v>108284.80000000002</v>
      </c>
      <c r="J26" s="107">
        <v>4066094.24</v>
      </c>
      <c r="K26" s="82" t="s">
        <v>48</v>
      </c>
      <c r="L26" s="81"/>
    </row>
    <row r="27" spans="1:12">
      <c r="A27" s="62" t="s">
        <v>52</v>
      </c>
      <c r="B27" s="72">
        <v>56.58</v>
      </c>
      <c r="C27" s="156">
        <f t="shared" si="0"/>
        <v>92532.85</v>
      </c>
      <c r="D27" s="154">
        <v>5235508.6529999999</v>
      </c>
      <c r="E27" s="156">
        <f t="shared" si="1"/>
        <v>93007.85</v>
      </c>
      <c r="F27" s="154">
        <v>5262384.1529999999</v>
      </c>
      <c r="G27" s="151">
        <f t="shared" si="2"/>
        <v>93482.85</v>
      </c>
      <c r="H27" s="152">
        <v>5289259.6529999999</v>
      </c>
      <c r="I27" s="156">
        <f t="shared" si="3"/>
        <v>93007.85</v>
      </c>
      <c r="J27" s="107">
        <v>5262384.1529999999</v>
      </c>
      <c r="K27" s="82" t="s">
        <v>48</v>
      </c>
      <c r="L27" s="78"/>
    </row>
    <row r="28" spans="1:12" ht="15.75" thickBot="1">
      <c r="A28" s="68" t="s">
        <v>52</v>
      </c>
      <c r="B28" s="73">
        <v>58.22</v>
      </c>
      <c r="C28" s="157">
        <f t="shared" si="0"/>
        <v>91892.55</v>
      </c>
      <c r="D28" s="158">
        <v>5349984.2609999999</v>
      </c>
      <c r="E28" s="157">
        <f t="shared" si="1"/>
        <v>92367.55</v>
      </c>
      <c r="F28" s="158">
        <v>5377638.7609999999</v>
      </c>
      <c r="G28" s="149">
        <f t="shared" si="2"/>
        <v>92842.55</v>
      </c>
      <c r="H28" s="150">
        <v>5405293.2609999999</v>
      </c>
      <c r="I28" s="157">
        <f t="shared" si="3"/>
        <v>92367.55</v>
      </c>
      <c r="J28" s="106">
        <v>5377638.7609999999</v>
      </c>
      <c r="K28" s="83" t="s">
        <v>48</v>
      </c>
      <c r="L28" s="78"/>
    </row>
    <row r="29" spans="1:12">
      <c r="A29" s="62" t="s">
        <v>53</v>
      </c>
      <c r="B29" s="74">
        <v>35.67</v>
      </c>
      <c r="C29" s="153">
        <f t="shared" si="0"/>
        <v>99864.95</v>
      </c>
      <c r="D29" s="159">
        <v>3562182.7664999999</v>
      </c>
      <c r="E29" s="153">
        <f t="shared" si="1"/>
        <v>100339.95</v>
      </c>
      <c r="F29" s="159">
        <v>3579126.0164999999</v>
      </c>
      <c r="G29" s="145">
        <f t="shared" si="2"/>
        <v>100814.95</v>
      </c>
      <c r="H29" s="155">
        <v>3596069.2664999999</v>
      </c>
      <c r="I29" s="153">
        <f t="shared" si="3"/>
        <v>100339.95</v>
      </c>
      <c r="J29" s="155">
        <v>3579126.0164999999</v>
      </c>
      <c r="K29" s="139" t="s">
        <v>30</v>
      </c>
      <c r="L29" s="78"/>
    </row>
    <row r="30" spans="1:12" ht="15.75" thickBot="1">
      <c r="A30" s="68" t="s">
        <v>53</v>
      </c>
      <c r="B30" s="75">
        <v>37.090000000000003</v>
      </c>
      <c r="C30" s="160">
        <f t="shared" si="0"/>
        <v>99067.89999999998</v>
      </c>
      <c r="D30" s="161">
        <v>3674428.4109999998</v>
      </c>
      <c r="E30" s="160">
        <f t="shared" si="1"/>
        <v>99542.89999999998</v>
      </c>
      <c r="F30" s="161">
        <v>3692046.1609999998</v>
      </c>
      <c r="G30" s="144">
        <f t="shared" si="2"/>
        <v>100017.89999999998</v>
      </c>
      <c r="H30" s="162">
        <v>3709663.9109999998</v>
      </c>
      <c r="I30" s="160">
        <f t="shared" si="3"/>
        <v>99542.89999999998</v>
      </c>
      <c r="J30" s="162">
        <v>3692046.1609999998</v>
      </c>
      <c r="K30" s="140" t="s">
        <v>30</v>
      </c>
      <c r="L30" s="78"/>
    </row>
    <row r="31" spans="1:12">
      <c r="D31" s="34"/>
    </row>
    <row r="32" spans="1:12" ht="19.5" thickBot="1">
      <c r="A32" s="164" t="s">
        <v>121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7.5" customHeight="1" thickBot="1">
      <c r="A33" s="59" t="s">
        <v>21</v>
      </c>
      <c r="B33" s="60" t="s">
        <v>22</v>
      </c>
      <c r="C33" s="61" t="s">
        <v>23</v>
      </c>
      <c r="D33" s="60" t="s">
        <v>24</v>
      </c>
      <c r="E33" s="61" t="s">
        <v>25</v>
      </c>
      <c r="F33" s="60" t="s">
        <v>24</v>
      </c>
      <c r="G33" s="61" t="s">
        <v>26</v>
      </c>
      <c r="H33" s="60" t="s">
        <v>24</v>
      </c>
      <c r="I33" s="61" t="s">
        <v>27</v>
      </c>
      <c r="J33" s="60" t="s">
        <v>24</v>
      </c>
      <c r="K33" s="76" t="s">
        <v>28</v>
      </c>
    </row>
    <row r="34" spans="1:11">
      <c r="A34" s="62" t="s">
        <v>29</v>
      </c>
      <c r="B34" s="63">
        <v>56.58</v>
      </c>
      <c r="C34" s="141">
        <f>D34/B34</f>
        <v>80728.625</v>
      </c>
      <c r="D34" s="142">
        <v>4567625.6025</v>
      </c>
      <c r="E34" s="141">
        <f>F34/B34</f>
        <v>81179.875</v>
      </c>
      <c r="F34" s="142">
        <v>4593157.3274999997</v>
      </c>
      <c r="G34" s="141">
        <f>H34/B34</f>
        <v>81631.125</v>
      </c>
      <c r="H34" s="142">
        <v>4618689.0525000002</v>
      </c>
      <c r="I34" s="141">
        <f>J34/B34</f>
        <v>81179.875</v>
      </c>
      <c r="J34" s="142">
        <v>4593157.3274999997</v>
      </c>
      <c r="K34" s="15" t="s">
        <v>30</v>
      </c>
    </row>
    <row r="35" spans="1:11" ht="15.75" thickBot="1">
      <c r="A35" s="62" t="s">
        <v>29</v>
      </c>
      <c r="B35" s="64">
        <v>58.22</v>
      </c>
      <c r="C35" s="141">
        <f t="shared" ref="C35:C61" si="4">D35/B35</f>
        <v>80322.5</v>
      </c>
      <c r="D35" s="143">
        <v>4676375.95</v>
      </c>
      <c r="E35" s="144">
        <f t="shared" ref="E35:E61" si="5">F35/B35</f>
        <v>80773.75</v>
      </c>
      <c r="F35" s="143">
        <v>4702647.7249999996</v>
      </c>
      <c r="G35" s="144">
        <f t="shared" ref="G35:G61" si="6">H35/B35</f>
        <v>81225</v>
      </c>
      <c r="H35" s="143">
        <v>4728919.5</v>
      </c>
      <c r="I35" s="144">
        <f t="shared" ref="I35:I61" si="7">J35/B35</f>
        <v>80773.75</v>
      </c>
      <c r="J35" s="143">
        <v>4702647.7249999996</v>
      </c>
      <c r="K35" s="79" t="s">
        <v>30</v>
      </c>
    </row>
    <row r="36" spans="1:11">
      <c r="A36" s="65" t="s">
        <v>31</v>
      </c>
      <c r="B36" s="66">
        <v>21.6</v>
      </c>
      <c r="C36" s="145">
        <f t="shared" si="4"/>
        <v>118055.1225</v>
      </c>
      <c r="D36" s="146">
        <v>2549990.6460000002</v>
      </c>
      <c r="E36" s="145">
        <f t="shared" si="5"/>
        <v>118506.3725</v>
      </c>
      <c r="F36" s="146">
        <v>2559737.6460000002</v>
      </c>
      <c r="G36" s="145">
        <f t="shared" si="6"/>
        <v>118957.6225</v>
      </c>
      <c r="H36" s="146">
        <v>2569484.6460000002</v>
      </c>
      <c r="I36" s="145">
        <f t="shared" si="7"/>
        <v>118506.3725</v>
      </c>
      <c r="J36" s="146">
        <v>2559737.6460000002</v>
      </c>
      <c r="K36" s="80" t="s">
        <v>30</v>
      </c>
    </row>
    <row r="37" spans="1:11">
      <c r="A37" s="67" t="s">
        <v>32</v>
      </c>
      <c r="B37" s="63">
        <v>37.549999999999997</v>
      </c>
      <c r="C37" s="147">
        <f t="shared" si="4"/>
        <v>92804.977500000008</v>
      </c>
      <c r="D37" s="148">
        <v>3484826.905125</v>
      </c>
      <c r="E37" s="147">
        <f t="shared" si="5"/>
        <v>93256.227500000008</v>
      </c>
      <c r="F37" s="148">
        <v>3501771.342625</v>
      </c>
      <c r="G37" s="147">
        <f t="shared" si="6"/>
        <v>93707.477500000008</v>
      </c>
      <c r="H37" s="148">
        <v>3518715.780125</v>
      </c>
      <c r="I37" s="147">
        <f t="shared" si="7"/>
        <v>93256.227500000008</v>
      </c>
      <c r="J37" s="148">
        <v>3501771.342625</v>
      </c>
      <c r="K37" s="15" t="s">
        <v>30</v>
      </c>
    </row>
    <row r="38" spans="1:11">
      <c r="A38" s="62" t="s">
        <v>33</v>
      </c>
      <c r="B38" s="63">
        <v>56.58</v>
      </c>
      <c r="C38" s="141">
        <f t="shared" si="4"/>
        <v>80728.625</v>
      </c>
      <c r="D38" s="142">
        <v>4567625.6025</v>
      </c>
      <c r="E38" s="141">
        <f t="shared" si="5"/>
        <v>81179.875</v>
      </c>
      <c r="F38" s="142">
        <v>4593157.3274999997</v>
      </c>
      <c r="G38" s="141">
        <f t="shared" si="6"/>
        <v>81631.125</v>
      </c>
      <c r="H38" s="142">
        <v>4618689.0525000002</v>
      </c>
      <c r="I38" s="141">
        <f t="shared" si="7"/>
        <v>81179.875</v>
      </c>
      <c r="J38" s="142">
        <v>4593157.3274999997</v>
      </c>
      <c r="K38" s="15" t="s">
        <v>30</v>
      </c>
    </row>
    <row r="39" spans="1:11" ht="15.75" thickBot="1">
      <c r="A39" s="68" t="s">
        <v>34</v>
      </c>
      <c r="B39" s="69">
        <v>58.22</v>
      </c>
      <c r="C39" s="149">
        <f t="shared" si="4"/>
        <v>80322.5</v>
      </c>
      <c r="D39" s="150">
        <v>4676375.95</v>
      </c>
      <c r="E39" s="149">
        <f t="shared" si="5"/>
        <v>80773.75</v>
      </c>
      <c r="F39" s="150">
        <v>4702647.7249999996</v>
      </c>
      <c r="G39" s="149">
        <f t="shared" si="6"/>
        <v>81225</v>
      </c>
      <c r="H39" s="106">
        <v>4728919.5</v>
      </c>
      <c r="I39" s="144">
        <f t="shared" si="7"/>
        <v>80773.75</v>
      </c>
      <c r="J39" s="143">
        <v>4702647.7249999996</v>
      </c>
      <c r="K39" s="79" t="s">
        <v>30</v>
      </c>
    </row>
    <row r="40" spans="1:11">
      <c r="A40" s="65" t="s">
        <v>35</v>
      </c>
      <c r="B40" s="66">
        <v>21.6</v>
      </c>
      <c r="C40" s="145">
        <f t="shared" si="4"/>
        <v>118055.1225</v>
      </c>
      <c r="D40" s="146">
        <v>2549990.6460000002</v>
      </c>
      <c r="E40" s="145">
        <f t="shared" si="5"/>
        <v>118506.3725</v>
      </c>
      <c r="F40" s="146">
        <v>2559737.6460000002</v>
      </c>
      <c r="G40" s="145">
        <f t="shared" si="6"/>
        <v>118957.6225</v>
      </c>
      <c r="H40" s="146">
        <v>2569484.6460000002</v>
      </c>
      <c r="I40" s="145">
        <f t="shared" si="7"/>
        <v>118506.3725</v>
      </c>
      <c r="J40" s="146">
        <v>2559737.6460000002</v>
      </c>
      <c r="K40" s="137" t="s">
        <v>30</v>
      </c>
    </row>
    <row r="41" spans="1:11">
      <c r="A41" s="67" t="s">
        <v>36</v>
      </c>
      <c r="B41" s="63">
        <v>37.549999999999997</v>
      </c>
      <c r="C41" s="147">
        <f t="shared" si="4"/>
        <v>92804.977500000008</v>
      </c>
      <c r="D41" s="148">
        <v>3484826.905125</v>
      </c>
      <c r="E41" s="147">
        <f t="shared" si="5"/>
        <v>93256.227500000008</v>
      </c>
      <c r="F41" s="148">
        <v>3501771.342625</v>
      </c>
      <c r="G41" s="147">
        <f t="shared" si="6"/>
        <v>93707.477500000008</v>
      </c>
      <c r="H41" s="148">
        <v>3518715.780125</v>
      </c>
      <c r="I41" s="147">
        <f t="shared" si="7"/>
        <v>93256.227500000008</v>
      </c>
      <c r="J41" s="148">
        <v>3501771.342625</v>
      </c>
      <c r="K41" s="111" t="s">
        <v>30</v>
      </c>
    </row>
    <row r="42" spans="1:11">
      <c r="A42" s="62" t="s">
        <v>37</v>
      </c>
      <c r="B42" s="63">
        <v>56.58</v>
      </c>
      <c r="C42" s="141">
        <f t="shared" si="4"/>
        <v>80728.625</v>
      </c>
      <c r="D42" s="142">
        <v>4567625.6025</v>
      </c>
      <c r="E42" s="141">
        <f t="shared" si="5"/>
        <v>81179.875</v>
      </c>
      <c r="F42" s="142">
        <v>4593157.3274999997</v>
      </c>
      <c r="G42" s="141">
        <f t="shared" si="6"/>
        <v>81631.125</v>
      </c>
      <c r="H42" s="142">
        <v>4618689.0525000002</v>
      </c>
      <c r="I42" s="141">
        <f t="shared" si="7"/>
        <v>81179.875</v>
      </c>
      <c r="J42" s="142">
        <v>4593157.3274999997</v>
      </c>
      <c r="K42" s="111" t="s">
        <v>30</v>
      </c>
    </row>
    <row r="43" spans="1:11" ht="15.75" thickBot="1">
      <c r="A43" s="68" t="s">
        <v>38</v>
      </c>
      <c r="B43" s="69">
        <v>58.22</v>
      </c>
      <c r="C43" s="149">
        <f t="shared" si="4"/>
        <v>80322.5</v>
      </c>
      <c r="D43" s="150">
        <v>4676375.95</v>
      </c>
      <c r="E43" s="149">
        <f t="shared" si="5"/>
        <v>80773.75</v>
      </c>
      <c r="F43" s="150">
        <v>4702647.7249999996</v>
      </c>
      <c r="G43" s="149">
        <f t="shared" si="6"/>
        <v>81225</v>
      </c>
      <c r="H43" s="106">
        <v>4728919.5</v>
      </c>
      <c r="I43" s="144">
        <f t="shared" si="7"/>
        <v>80773.75</v>
      </c>
      <c r="J43" s="143">
        <v>4702647.7249999996</v>
      </c>
      <c r="K43" s="138" t="s">
        <v>30</v>
      </c>
    </row>
    <row r="44" spans="1:11">
      <c r="A44" s="67" t="s">
        <v>39</v>
      </c>
      <c r="B44" s="70">
        <v>21.6</v>
      </c>
      <c r="C44" s="151">
        <f t="shared" si="4"/>
        <v>129448.2825</v>
      </c>
      <c r="D44" s="152">
        <v>2796082.9020000002</v>
      </c>
      <c r="E44" s="151">
        <f t="shared" si="5"/>
        <v>129899.5325</v>
      </c>
      <c r="F44" s="152">
        <v>2805829.9020000002</v>
      </c>
      <c r="G44" s="151">
        <f t="shared" si="6"/>
        <v>130350.7825</v>
      </c>
      <c r="H44" s="152">
        <v>2815576.9020000002</v>
      </c>
      <c r="I44" s="151">
        <f t="shared" si="7"/>
        <v>129899.5325</v>
      </c>
      <c r="J44" s="152">
        <v>2805829.9020000002</v>
      </c>
      <c r="K44" s="112" t="s">
        <v>30</v>
      </c>
    </row>
    <row r="45" spans="1:11">
      <c r="A45" s="62" t="s">
        <v>41</v>
      </c>
      <c r="B45" s="63">
        <v>37.549999999999997</v>
      </c>
      <c r="C45" s="151">
        <f t="shared" si="4"/>
        <v>104089.83750000001</v>
      </c>
      <c r="D45" s="152">
        <v>3908573.3981249998</v>
      </c>
      <c r="E45" s="151">
        <f t="shared" si="5"/>
        <v>104541.08750000001</v>
      </c>
      <c r="F45" s="152">
        <v>3925517.8356249998</v>
      </c>
      <c r="G45" s="151">
        <f t="shared" si="6"/>
        <v>104992.33750000001</v>
      </c>
      <c r="H45" s="152">
        <v>3942462.2731249998</v>
      </c>
      <c r="I45" s="151">
        <f t="shared" si="7"/>
        <v>104541.08750000001</v>
      </c>
      <c r="J45" s="152">
        <v>3925517.8356249998</v>
      </c>
      <c r="K45" s="25" t="s">
        <v>40</v>
      </c>
    </row>
    <row r="46" spans="1:11">
      <c r="A46" s="62" t="s">
        <v>42</v>
      </c>
      <c r="B46" s="63">
        <v>56.58</v>
      </c>
      <c r="C46" s="151">
        <f t="shared" si="4"/>
        <v>89846.58249999999</v>
      </c>
      <c r="D46" s="152">
        <v>5083519.6378499996</v>
      </c>
      <c r="E46" s="151">
        <f t="shared" si="5"/>
        <v>90297.832500000004</v>
      </c>
      <c r="F46" s="152">
        <v>5109051.3628500002</v>
      </c>
      <c r="G46" s="151">
        <f t="shared" si="6"/>
        <v>90749.082500000004</v>
      </c>
      <c r="H46" s="152">
        <v>5134583.0878499998</v>
      </c>
      <c r="I46" s="151">
        <f t="shared" si="7"/>
        <v>90297.832500000004</v>
      </c>
      <c r="J46" s="152">
        <v>5109051.3628500002</v>
      </c>
      <c r="K46" s="25" t="s">
        <v>40</v>
      </c>
    </row>
    <row r="47" spans="1:11" ht="15.75" thickBot="1">
      <c r="A47" s="68" t="s">
        <v>42</v>
      </c>
      <c r="B47" s="69">
        <v>58.22</v>
      </c>
      <c r="C47" s="149">
        <f t="shared" si="4"/>
        <v>89238.297499999986</v>
      </c>
      <c r="D47" s="150">
        <v>5195453.6804499989</v>
      </c>
      <c r="E47" s="149">
        <f t="shared" si="5"/>
        <v>90140.797500000001</v>
      </c>
      <c r="F47" s="150">
        <v>5247997.2304499997</v>
      </c>
      <c r="G47" s="149">
        <f t="shared" si="6"/>
        <v>90140.797500000001</v>
      </c>
      <c r="H47" s="150">
        <v>5247997.2304499997</v>
      </c>
      <c r="I47" s="149">
        <f t="shared" si="7"/>
        <v>89689.547499999986</v>
      </c>
      <c r="J47" s="106">
        <v>5221725.4554499993</v>
      </c>
      <c r="K47" s="18" t="s">
        <v>40</v>
      </c>
    </row>
    <row r="48" spans="1:11">
      <c r="A48" s="67" t="s">
        <v>43</v>
      </c>
      <c r="B48" s="70">
        <v>21.6</v>
      </c>
      <c r="C48" s="151">
        <f t="shared" si="4"/>
        <v>119241.90999999999</v>
      </c>
      <c r="D48" s="152">
        <v>2575625.2560000001</v>
      </c>
      <c r="E48" s="151">
        <f t="shared" si="5"/>
        <v>119693.15999999999</v>
      </c>
      <c r="F48" s="152">
        <v>2585372.2560000001</v>
      </c>
      <c r="G48" s="151">
        <f t="shared" si="6"/>
        <v>120144.40999999999</v>
      </c>
      <c r="H48" s="152">
        <v>2595119.2560000001</v>
      </c>
      <c r="I48" s="151">
        <f t="shared" si="7"/>
        <v>119693.15999999999</v>
      </c>
      <c r="J48" s="152">
        <v>2585372.2560000001</v>
      </c>
      <c r="K48" s="112" t="s">
        <v>30</v>
      </c>
    </row>
    <row r="49" spans="1:11">
      <c r="A49" s="62" t="s">
        <v>44</v>
      </c>
      <c r="B49" s="63">
        <v>37.549999999999997</v>
      </c>
      <c r="C49" s="151">
        <f t="shared" si="4"/>
        <v>97612.595000000001</v>
      </c>
      <c r="D49" s="152">
        <v>3665352.9422499998</v>
      </c>
      <c r="E49" s="151">
        <f t="shared" si="5"/>
        <v>98063.845000000001</v>
      </c>
      <c r="F49" s="152">
        <v>3682297.3797499998</v>
      </c>
      <c r="G49" s="151">
        <f t="shared" si="6"/>
        <v>98515.095000000001</v>
      </c>
      <c r="H49" s="152">
        <v>3699241.8172499998</v>
      </c>
      <c r="I49" s="151">
        <f t="shared" si="7"/>
        <v>98063.845000000001</v>
      </c>
      <c r="J49" s="152">
        <v>3682297.3797499998</v>
      </c>
      <c r="K49" s="112" t="s">
        <v>30</v>
      </c>
    </row>
    <row r="50" spans="1:11">
      <c r="A50" s="62" t="s">
        <v>45</v>
      </c>
      <c r="B50" s="63">
        <v>56.58</v>
      </c>
      <c r="C50" s="151">
        <f t="shared" si="4"/>
        <v>85529.022500000006</v>
      </c>
      <c r="D50" s="152">
        <v>4839232.0930500003</v>
      </c>
      <c r="E50" s="151">
        <f t="shared" si="5"/>
        <v>85980.272500000006</v>
      </c>
      <c r="F50" s="152">
        <v>4864763.8180499999</v>
      </c>
      <c r="G50" s="151">
        <f t="shared" si="6"/>
        <v>86431.522500000006</v>
      </c>
      <c r="H50" s="152">
        <v>4890295.5430500004</v>
      </c>
      <c r="I50" s="151">
        <f t="shared" si="7"/>
        <v>85980.272500000006</v>
      </c>
      <c r="J50" s="152">
        <v>4864763.8180499999</v>
      </c>
      <c r="K50" s="112" t="s">
        <v>30</v>
      </c>
    </row>
    <row r="51" spans="1:11" ht="15.75" thickBot="1">
      <c r="A51" s="68" t="s">
        <v>45</v>
      </c>
      <c r="B51" s="69">
        <v>58.22</v>
      </c>
      <c r="C51" s="149">
        <f t="shared" si="4"/>
        <v>85010.084999999992</v>
      </c>
      <c r="D51" s="150">
        <v>4949287.1486999998</v>
      </c>
      <c r="E51" s="149">
        <f t="shared" si="5"/>
        <v>85461.335000000006</v>
      </c>
      <c r="F51" s="150">
        <v>4975558.9237000002</v>
      </c>
      <c r="G51" s="149">
        <f t="shared" si="6"/>
        <v>85912.585000000006</v>
      </c>
      <c r="H51" s="150">
        <v>5001830.6987000005</v>
      </c>
      <c r="I51" s="149">
        <f t="shared" si="7"/>
        <v>85461.335000000006</v>
      </c>
      <c r="J51" s="106">
        <v>4975558.9237000002</v>
      </c>
      <c r="K51" s="113" t="s">
        <v>30</v>
      </c>
    </row>
    <row r="52" spans="1:11">
      <c r="A52" s="67" t="s">
        <v>46</v>
      </c>
      <c r="B52" s="70">
        <v>21.6</v>
      </c>
      <c r="C52" s="151">
        <f t="shared" si="4"/>
        <v>119241.90999999999</v>
      </c>
      <c r="D52" s="152">
        <v>2575625.2560000001</v>
      </c>
      <c r="E52" s="151">
        <f t="shared" si="5"/>
        <v>119693.15999999999</v>
      </c>
      <c r="F52" s="152">
        <v>2585372.2560000001</v>
      </c>
      <c r="G52" s="151">
        <f t="shared" si="6"/>
        <v>120144.40999999999</v>
      </c>
      <c r="H52" s="152">
        <v>2595119.2560000001</v>
      </c>
      <c r="I52" s="151">
        <f t="shared" si="7"/>
        <v>119693.15999999999</v>
      </c>
      <c r="J52" s="152">
        <v>2585372.2560000001</v>
      </c>
      <c r="K52" s="112" t="s">
        <v>30</v>
      </c>
    </row>
    <row r="53" spans="1:11">
      <c r="A53" s="62" t="s">
        <v>47</v>
      </c>
      <c r="B53" s="63">
        <v>37.549999999999997</v>
      </c>
      <c r="C53" s="151">
        <f t="shared" si="4"/>
        <v>102420.21250000001</v>
      </c>
      <c r="D53" s="152">
        <v>3845878.9793750001</v>
      </c>
      <c r="E53" s="151">
        <f t="shared" si="5"/>
        <v>102870.56000000001</v>
      </c>
      <c r="F53" s="152">
        <v>3862789.5279999999</v>
      </c>
      <c r="G53" s="151">
        <f t="shared" si="6"/>
        <v>103321.81000000001</v>
      </c>
      <c r="H53" s="152">
        <v>3879733.9654999999</v>
      </c>
      <c r="I53" s="151">
        <f t="shared" si="7"/>
        <v>102870.56000000001</v>
      </c>
      <c r="J53" s="152">
        <v>3862789.5279999999</v>
      </c>
      <c r="K53" s="25" t="s">
        <v>48</v>
      </c>
    </row>
    <row r="54" spans="1:11">
      <c r="A54" s="62" t="s">
        <v>49</v>
      </c>
      <c r="B54" s="63">
        <v>56.58</v>
      </c>
      <c r="C54" s="151">
        <f t="shared" si="4"/>
        <v>87906.207500000004</v>
      </c>
      <c r="D54" s="152">
        <v>4973733.2203500001</v>
      </c>
      <c r="E54" s="151">
        <f t="shared" si="5"/>
        <v>88357.457500000004</v>
      </c>
      <c r="F54" s="152">
        <v>4999264.9453499997</v>
      </c>
      <c r="G54" s="151">
        <f t="shared" si="6"/>
        <v>88808.70749999999</v>
      </c>
      <c r="H54" s="152">
        <v>5024796.6703499993</v>
      </c>
      <c r="I54" s="151">
        <f t="shared" si="7"/>
        <v>88357.457500000004</v>
      </c>
      <c r="J54" s="152">
        <v>4999264.9453499997</v>
      </c>
      <c r="K54" s="25" t="s">
        <v>48</v>
      </c>
    </row>
    <row r="55" spans="1:11" ht="15.75" thickBot="1">
      <c r="A55" s="68" t="s">
        <v>49</v>
      </c>
      <c r="B55" s="69">
        <v>58.22</v>
      </c>
      <c r="C55" s="149">
        <f t="shared" si="4"/>
        <v>87297.922500000001</v>
      </c>
      <c r="D55" s="150">
        <v>5082485.0479499996</v>
      </c>
      <c r="E55" s="149">
        <f t="shared" si="5"/>
        <v>87749.172500000001</v>
      </c>
      <c r="F55" s="150">
        <v>5108756.8229499999</v>
      </c>
      <c r="G55" s="149">
        <f t="shared" si="6"/>
        <v>88200.422499999986</v>
      </c>
      <c r="H55" s="150">
        <v>5135028.5979499994</v>
      </c>
      <c r="I55" s="149">
        <f t="shared" si="7"/>
        <v>87749.172500000001</v>
      </c>
      <c r="J55" s="106">
        <v>5108756.8229499999</v>
      </c>
      <c r="K55" s="18" t="s">
        <v>48</v>
      </c>
    </row>
    <row r="56" spans="1:11">
      <c r="A56" s="67" t="s">
        <v>50</v>
      </c>
      <c r="B56" s="71">
        <v>21.6</v>
      </c>
      <c r="C56" s="153">
        <f t="shared" si="4"/>
        <v>127598.15749999999</v>
      </c>
      <c r="D56" s="154">
        <v>2756120.202</v>
      </c>
      <c r="E56" s="153">
        <f t="shared" si="5"/>
        <v>128049.40749999999</v>
      </c>
      <c r="F56" s="154">
        <v>2765867.202</v>
      </c>
      <c r="G56" s="145">
        <f t="shared" si="6"/>
        <v>128500.65749999999</v>
      </c>
      <c r="H56" s="152">
        <v>2775614.202</v>
      </c>
      <c r="I56" s="153">
        <f t="shared" si="7"/>
        <v>128049.40749999999</v>
      </c>
      <c r="J56" s="155">
        <v>2765867.202</v>
      </c>
      <c r="K56" s="82" t="s">
        <v>48</v>
      </c>
    </row>
    <row r="57" spans="1:11">
      <c r="A57" s="62" t="s">
        <v>51</v>
      </c>
      <c r="B57" s="72">
        <v>37.549999999999997</v>
      </c>
      <c r="C57" s="156">
        <f t="shared" si="4"/>
        <v>102420.21250000001</v>
      </c>
      <c r="D57" s="154">
        <v>3845878.9793750001</v>
      </c>
      <c r="E57" s="156">
        <f t="shared" si="5"/>
        <v>102871.46250000001</v>
      </c>
      <c r="F57" s="154">
        <v>3862823.4168750001</v>
      </c>
      <c r="G57" s="151">
        <f t="shared" si="6"/>
        <v>103321.81000000001</v>
      </c>
      <c r="H57" s="152">
        <v>3879733.9654999999</v>
      </c>
      <c r="I57" s="156">
        <f t="shared" si="7"/>
        <v>102870.56000000001</v>
      </c>
      <c r="J57" s="107">
        <v>3862789.5279999999</v>
      </c>
      <c r="K57" s="82" t="s">
        <v>48</v>
      </c>
    </row>
    <row r="58" spans="1:11">
      <c r="A58" s="62" t="s">
        <v>52</v>
      </c>
      <c r="B58" s="72">
        <v>56.58</v>
      </c>
      <c r="C58" s="156">
        <f t="shared" si="4"/>
        <v>87906.207500000004</v>
      </c>
      <c r="D58" s="154">
        <v>4973733.2203500001</v>
      </c>
      <c r="E58" s="156">
        <f t="shared" si="5"/>
        <v>88357.457500000004</v>
      </c>
      <c r="F58" s="154">
        <v>4999264.9453499997</v>
      </c>
      <c r="G58" s="151">
        <f t="shared" si="6"/>
        <v>88808.70749999999</v>
      </c>
      <c r="H58" s="152">
        <v>5024796.6703499993</v>
      </c>
      <c r="I58" s="156">
        <f t="shared" si="7"/>
        <v>88357.457500000004</v>
      </c>
      <c r="J58" s="107">
        <v>4999264.9453499997</v>
      </c>
      <c r="K58" s="82" t="s">
        <v>48</v>
      </c>
    </row>
    <row r="59" spans="1:11" ht="15.75" thickBot="1">
      <c r="A59" s="68" t="s">
        <v>52</v>
      </c>
      <c r="B59" s="73">
        <v>58.22</v>
      </c>
      <c r="C59" s="157">
        <f t="shared" si="4"/>
        <v>87297.922500000001</v>
      </c>
      <c r="D59" s="158">
        <v>5082485.0479499996</v>
      </c>
      <c r="E59" s="157">
        <f t="shared" si="5"/>
        <v>87749.172500000001</v>
      </c>
      <c r="F59" s="158">
        <v>5108756.8229499999</v>
      </c>
      <c r="G59" s="149">
        <f t="shared" si="6"/>
        <v>88200.422499999986</v>
      </c>
      <c r="H59" s="150">
        <v>5135028.5979499994</v>
      </c>
      <c r="I59" s="157">
        <f t="shared" si="7"/>
        <v>87749.172500000001</v>
      </c>
      <c r="J59" s="106">
        <v>5108756.8229499999</v>
      </c>
      <c r="K59" s="83" t="s">
        <v>48</v>
      </c>
    </row>
    <row r="60" spans="1:11">
      <c r="A60" s="62" t="s">
        <v>53</v>
      </c>
      <c r="B60" s="74">
        <v>35.67</v>
      </c>
      <c r="C60" s="153">
        <f t="shared" si="4"/>
        <v>94871.702499999985</v>
      </c>
      <c r="D60" s="159">
        <v>3384073.6281749997</v>
      </c>
      <c r="E60" s="153">
        <f t="shared" si="5"/>
        <v>95322.952499999985</v>
      </c>
      <c r="F60" s="159">
        <v>3400169.7156749996</v>
      </c>
      <c r="G60" s="145">
        <f t="shared" si="6"/>
        <v>95774.202499999985</v>
      </c>
      <c r="H60" s="155">
        <v>3416265.8031749995</v>
      </c>
      <c r="I60" s="153">
        <f t="shared" si="7"/>
        <v>95322.952499999985</v>
      </c>
      <c r="J60" s="155">
        <v>3400169.7156749996</v>
      </c>
      <c r="K60" s="139" t="s">
        <v>30</v>
      </c>
    </row>
    <row r="61" spans="1:11" ht="15.75" thickBot="1">
      <c r="A61" s="68" t="s">
        <v>53</v>
      </c>
      <c r="B61" s="75">
        <v>37.090000000000003</v>
      </c>
      <c r="C61" s="160">
        <f t="shared" si="4"/>
        <v>94114.504999999976</v>
      </c>
      <c r="D61" s="161">
        <v>3490706.9904499995</v>
      </c>
      <c r="E61" s="160">
        <f t="shared" si="5"/>
        <v>94565.75499999999</v>
      </c>
      <c r="F61" s="161">
        <v>3507443.8529499997</v>
      </c>
      <c r="G61" s="144">
        <f t="shared" si="6"/>
        <v>95017.004999999976</v>
      </c>
      <c r="H61" s="162">
        <v>3524180.7154499996</v>
      </c>
      <c r="I61" s="160">
        <f t="shared" si="7"/>
        <v>94565.75499999999</v>
      </c>
      <c r="J61" s="162">
        <v>3507443.8529499997</v>
      </c>
      <c r="K61" s="140" t="s">
        <v>30</v>
      </c>
    </row>
    <row r="63" spans="1:11" ht="19.5" thickBot="1">
      <c r="A63" s="164" t="s">
        <v>122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.75" thickBot="1">
      <c r="A64" s="59" t="s">
        <v>21</v>
      </c>
      <c r="B64" s="60" t="s">
        <v>22</v>
      </c>
      <c r="C64" s="61" t="s">
        <v>23</v>
      </c>
      <c r="D64" s="60" t="s">
        <v>24</v>
      </c>
      <c r="E64" s="61" t="s">
        <v>25</v>
      </c>
      <c r="F64" s="60" t="s">
        <v>24</v>
      </c>
      <c r="G64" s="61" t="s">
        <v>26</v>
      </c>
      <c r="H64" s="60" t="s">
        <v>24</v>
      </c>
      <c r="I64" s="61" t="s">
        <v>27</v>
      </c>
      <c r="J64" s="60" t="s">
        <v>24</v>
      </c>
      <c r="K64" s="76" t="s">
        <v>28</v>
      </c>
    </row>
    <row r="65" spans="1:11">
      <c r="A65" s="62" t="s">
        <v>29</v>
      </c>
      <c r="B65" s="63">
        <v>56.58</v>
      </c>
      <c r="C65" s="141">
        <f>D65/B65</f>
        <v>90925.925000000003</v>
      </c>
      <c r="D65" s="142">
        <v>5144588.8365000002</v>
      </c>
      <c r="E65" s="141">
        <f>F65/B65</f>
        <v>91434.175000000003</v>
      </c>
      <c r="F65" s="142">
        <v>5173345.6215000004</v>
      </c>
      <c r="G65" s="141">
        <f>H65/B65</f>
        <v>91942.425000000017</v>
      </c>
      <c r="H65" s="142">
        <v>5202102.4065000005</v>
      </c>
      <c r="I65" s="141">
        <f>J65/B65</f>
        <v>91434.175000000003</v>
      </c>
      <c r="J65" s="142">
        <v>5173345.6215000004</v>
      </c>
      <c r="K65" s="15" t="s">
        <v>30</v>
      </c>
    </row>
    <row r="66" spans="1:11" ht="15.75" thickBot="1">
      <c r="A66" s="62" t="s">
        <v>29</v>
      </c>
      <c r="B66" s="64">
        <v>58.22</v>
      </c>
      <c r="C66" s="141">
        <f t="shared" ref="C66:C92" si="8">D66/B66</f>
        <v>90468.5</v>
      </c>
      <c r="D66" s="143">
        <v>5267076.07</v>
      </c>
      <c r="E66" s="144">
        <f t="shared" ref="E66:E92" si="9">F66/B66</f>
        <v>90976.750000000015</v>
      </c>
      <c r="F66" s="143">
        <v>5296666.3850000007</v>
      </c>
      <c r="G66" s="144">
        <f t="shared" ref="G66:G92" si="10">H66/B66</f>
        <v>91485</v>
      </c>
      <c r="H66" s="143">
        <v>5326256.7</v>
      </c>
      <c r="I66" s="144">
        <f t="shared" ref="I66:I92" si="11">J66/B66</f>
        <v>90976.750000000015</v>
      </c>
      <c r="J66" s="143">
        <v>5296666.3850000007</v>
      </c>
      <c r="K66" s="79" t="s">
        <v>30</v>
      </c>
    </row>
    <row r="67" spans="1:11">
      <c r="A67" s="65" t="s">
        <v>31</v>
      </c>
      <c r="B67" s="66">
        <v>21.6</v>
      </c>
      <c r="C67" s="145">
        <f t="shared" si="8"/>
        <v>132967.34849999999</v>
      </c>
      <c r="D67" s="146">
        <v>2872094.7276000003</v>
      </c>
      <c r="E67" s="145">
        <f t="shared" si="9"/>
        <v>133475.59850000002</v>
      </c>
      <c r="F67" s="146">
        <v>2883072.9276000005</v>
      </c>
      <c r="G67" s="145">
        <f t="shared" si="10"/>
        <v>133983.84849999999</v>
      </c>
      <c r="H67" s="146">
        <v>2894051.1276000002</v>
      </c>
      <c r="I67" s="145">
        <f t="shared" si="11"/>
        <v>133475.59850000002</v>
      </c>
      <c r="J67" s="146">
        <v>2883072.9276000005</v>
      </c>
      <c r="K67" s="80" t="s">
        <v>30</v>
      </c>
    </row>
    <row r="68" spans="1:11">
      <c r="A68" s="67" t="s">
        <v>32</v>
      </c>
      <c r="B68" s="63">
        <v>37.549999999999997</v>
      </c>
      <c r="C68" s="147">
        <f t="shared" si="8"/>
        <v>104527.71150000002</v>
      </c>
      <c r="D68" s="148">
        <v>3925015.5668250006</v>
      </c>
      <c r="E68" s="147">
        <f t="shared" si="9"/>
        <v>105035.96150000002</v>
      </c>
      <c r="F68" s="148">
        <v>3944100.3543250002</v>
      </c>
      <c r="G68" s="147">
        <f t="shared" si="10"/>
        <v>105544.21150000002</v>
      </c>
      <c r="H68" s="148">
        <v>3963185.1418250003</v>
      </c>
      <c r="I68" s="147">
        <f t="shared" si="11"/>
        <v>105035.96150000002</v>
      </c>
      <c r="J68" s="148">
        <v>3944100.3543250002</v>
      </c>
      <c r="K68" s="15" t="s">
        <v>30</v>
      </c>
    </row>
    <row r="69" spans="1:11">
      <c r="A69" s="62" t="s">
        <v>33</v>
      </c>
      <c r="B69" s="63">
        <v>56.58</v>
      </c>
      <c r="C69" s="141">
        <f t="shared" si="8"/>
        <v>90925.925000000003</v>
      </c>
      <c r="D69" s="142">
        <v>5144588.8365000002</v>
      </c>
      <c r="E69" s="141">
        <f t="shared" si="9"/>
        <v>91434.175000000003</v>
      </c>
      <c r="F69" s="142">
        <v>5173345.6215000004</v>
      </c>
      <c r="G69" s="141">
        <f t="shared" si="10"/>
        <v>91942.425000000017</v>
      </c>
      <c r="H69" s="142">
        <v>5202102.4065000005</v>
      </c>
      <c r="I69" s="141">
        <f t="shared" si="11"/>
        <v>91434.175000000003</v>
      </c>
      <c r="J69" s="142">
        <v>5173345.6215000004</v>
      </c>
      <c r="K69" s="15" t="s">
        <v>30</v>
      </c>
    </row>
    <row r="70" spans="1:11" ht="15.75" thickBot="1">
      <c r="A70" s="68" t="s">
        <v>34</v>
      </c>
      <c r="B70" s="69">
        <v>58.22</v>
      </c>
      <c r="C70" s="149">
        <f t="shared" si="8"/>
        <v>90468.5</v>
      </c>
      <c r="D70" s="150">
        <v>5267076.07</v>
      </c>
      <c r="E70" s="149">
        <f t="shared" si="9"/>
        <v>90976.750000000015</v>
      </c>
      <c r="F70" s="150">
        <v>5296666.3850000007</v>
      </c>
      <c r="G70" s="149">
        <f t="shared" si="10"/>
        <v>91485</v>
      </c>
      <c r="H70" s="106">
        <v>5326256.7</v>
      </c>
      <c r="I70" s="144">
        <f t="shared" si="11"/>
        <v>90976.750000000015</v>
      </c>
      <c r="J70" s="143">
        <v>5296666.3850000007</v>
      </c>
      <c r="K70" s="79" t="s">
        <v>30</v>
      </c>
    </row>
    <row r="71" spans="1:11">
      <c r="A71" s="65" t="s">
        <v>35</v>
      </c>
      <c r="B71" s="66">
        <v>21.6</v>
      </c>
      <c r="C71" s="145">
        <f t="shared" si="8"/>
        <v>132967.34849999999</v>
      </c>
      <c r="D71" s="146">
        <v>2872094.7276000003</v>
      </c>
      <c r="E71" s="145">
        <f t="shared" si="9"/>
        <v>133475.59850000002</v>
      </c>
      <c r="F71" s="146">
        <v>2883072.9276000005</v>
      </c>
      <c r="G71" s="145">
        <f t="shared" si="10"/>
        <v>133983.84849999999</v>
      </c>
      <c r="H71" s="146">
        <v>2894051.1276000002</v>
      </c>
      <c r="I71" s="145">
        <f t="shared" si="11"/>
        <v>133475.59850000002</v>
      </c>
      <c r="J71" s="146">
        <v>2883072.9276000005</v>
      </c>
      <c r="K71" s="137" t="s">
        <v>30</v>
      </c>
    </row>
    <row r="72" spans="1:11">
      <c r="A72" s="67" t="s">
        <v>36</v>
      </c>
      <c r="B72" s="63">
        <v>37.549999999999997</v>
      </c>
      <c r="C72" s="147">
        <f t="shared" si="8"/>
        <v>104527.71150000002</v>
      </c>
      <c r="D72" s="148">
        <v>3925015.5668250006</v>
      </c>
      <c r="E72" s="147">
        <f t="shared" si="9"/>
        <v>105035.96150000002</v>
      </c>
      <c r="F72" s="148">
        <v>3944100.3543250002</v>
      </c>
      <c r="G72" s="147">
        <f t="shared" si="10"/>
        <v>105544.21150000002</v>
      </c>
      <c r="H72" s="148">
        <v>3963185.1418250003</v>
      </c>
      <c r="I72" s="147">
        <f t="shared" si="11"/>
        <v>105035.96150000002</v>
      </c>
      <c r="J72" s="148">
        <v>3944100.3543250002</v>
      </c>
      <c r="K72" s="111" t="s">
        <v>30</v>
      </c>
    </row>
    <row r="73" spans="1:11">
      <c r="A73" s="62" t="s">
        <v>37</v>
      </c>
      <c r="B73" s="63">
        <v>56.58</v>
      </c>
      <c r="C73" s="141">
        <f t="shared" si="8"/>
        <v>90925.925000000003</v>
      </c>
      <c r="D73" s="142">
        <v>5144588.8365000002</v>
      </c>
      <c r="E73" s="141">
        <f t="shared" si="9"/>
        <v>91434.175000000003</v>
      </c>
      <c r="F73" s="142">
        <v>5173345.6215000004</v>
      </c>
      <c r="G73" s="141">
        <f t="shared" si="10"/>
        <v>91942.425000000017</v>
      </c>
      <c r="H73" s="142">
        <v>5202102.4065000005</v>
      </c>
      <c r="I73" s="141">
        <f t="shared" si="11"/>
        <v>91434.175000000003</v>
      </c>
      <c r="J73" s="142">
        <v>5173345.6215000004</v>
      </c>
      <c r="K73" s="111" t="s">
        <v>30</v>
      </c>
    </row>
    <row r="74" spans="1:11" ht="15.75" thickBot="1">
      <c r="A74" s="68" t="s">
        <v>38</v>
      </c>
      <c r="B74" s="69">
        <v>58.22</v>
      </c>
      <c r="C74" s="149">
        <f t="shared" si="8"/>
        <v>90468.5</v>
      </c>
      <c r="D74" s="150">
        <v>5267076.07</v>
      </c>
      <c r="E74" s="149">
        <f t="shared" si="9"/>
        <v>90976.750000000015</v>
      </c>
      <c r="F74" s="150">
        <v>5296666.3850000007</v>
      </c>
      <c r="G74" s="149">
        <f t="shared" si="10"/>
        <v>91485</v>
      </c>
      <c r="H74" s="106">
        <v>5326256.7</v>
      </c>
      <c r="I74" s="144">
        <f t="shared" si="11"/>
        <v>90976.750000000015</v>
      </c>
      <c r="J74" s="143">
        <v>5296666.3850000007</v>
      </c>
      <c r="K74" s="138" t="s">
        <v>30</v>
      </c>
    </row>
    <row r="75" spans="1:11">
      <c r="A75" s="67" t="s">
        <v>39</v>
      </c>
      <c r="B75" s="70">
        <v>21.6</v>
      </c>
      <c r="C75" s="151">
        <f t="shared" si="8"/>
        <v>145799.64449999999</v>
      </c>
      <c r="D75" s="152">
        <v>3149272.3212000001</v>
      </c>
      <c r="E75" s="151">
        <f t="shared" si="9"/>
        <v>146307.89449999999</v>
      </c>
      <c r="F75" s="152">
        <v>3160250.5212000003</v>
      </c>
      <c r="G75" s="151">
        <f t="shared" si="10"/>
        <v>146816.14450000002</v>
      </c>
      <c r="H75" s="152">
        <v>3171228.7212000005</v>
      </c>
      <c r="I75" s="151">
        <f t="shared" si="11"/>
        <v>146307.89449999999</v>
      </c>
      <c r="J75" s="152">
        <v>3160250.5212000003</v>
      </c>
      <c r="K75" s="112" t="s">
        <v>30</v>
      </c>
    </row>
    <row r="76" spans="1:11">
      <c r="A76" s="62" t="s">
        <v>41</v>
      </c>
      <c r="B76" s="63">
        <v>37.549999999999997</v>
      </c>
      <c r="C76" s="151">
        <f t="shared" si="8"/>
        <v>117238.02750000003</v>
      </c>
      <c r="D76" s="152">
        <v>4402287.9326250004</v>
      </c>
      <c r="E76" s="151">
        <f t="shared" si="9"/>
        <v>117746.27750000001</v>
      </c>
      <c r="F76" s="152">
        <v>4421372.720125</v>
      </c>
      <c r="G76" s="151">
        <f t="shared" si="10"/>
        <v>118254.52750000003</v>
      </c>
      <c r="H76" s="152">
        <v>4440457.5076250006</v>
      </c>
      <c r="I76" s="151">
        <f t="shared" si="11"/>
        <v>117746.27750000001</v>
      </c>
      <c r="J76" s="152">
        <v>4421372.720125</v>
      </c>
      <c r="K76" s="25" t="s">
        <v>40</v>
      </c>
    </row>
    <row r="77" spans="1:11">
      <c r="A77" s="62" t="s">
        <v>42</v>
      </c>
      <c r="B77" s="63">
        <v>56.58</v>
      </c>
      <c r="C77" s="151">
        <f t="shared" si="8"/>
        <v>101195.62450000002</v>
      </c>
      <c r="D77" s="152">
        <v>5725648.4342100006</v>
      </c>
      <c r="E77" s="151">
        <f t="shared" si="9"/>
        <v>101703.87450000002</v>
      </c>
      <c r="F77" s="152">
        <v>5754405.2192100007</v>
      </c>
      <c r="G77" s="151">
        <f t="shared" si="10"/>
        <v>102212.12450000002</v>
      </c>
      <c r="H77" s="152">
        <v>5783162.0042100009</v>
      </c>
      <c r="I77" s="151">
        <f t="shared" si="11"/>
        <v>101703.87450000002</v>
      </c>
      <c r="J77" s="152">
        <v>5754405.2192100007</v>
      </c>
      <c r="K77" s="25" t="s">
        <v>40</v>
      </c>
    </row>
    <row r="78" spans="1:11" ht="15.75" thickBot="1">
      <c r="A78" s="68" t="s">
        <v>42</v>
      </c>
      <c r="B78" s="69">
        <v>58.22</v>
      </c>
      <c r="C78" s="149">
        <f t="shared" si="8"/>
        <v>100510.50350000001</v>
      </c>
      <c r="D78" s="150">
        <v>5851721.5137700001</v>
      </c>
      <c r="E78" s="149">
        <f t="shared" si="9"/>
        <v>101527.00350000001</v>
      </c>
      <c r="F78" s="150">
        <v>5910902.14377</v>
      </c>
      <c r="G78" s="149">
        <f t="shared" si="10"/>
        <v>101527.00350000001</v>
      </c>
      <c r="H78" s="150">
        <v>5910902.14377</v>
      </c>
      <c r="I78" s="149">
        <f t="shared" si="11"/>
        <v>101018.75349999999</v>
      </c>
      <c r="J78" s="106">
        <v>5881311.8287699996</v>
      </c>
      <c r="K78" s="18" t="s">
        <v>40</v>
      </c>
    </row>
    <row r="79" spans="1:11">
      <c r="A79" s="67" t="s">
        <v>43</v>
      </c>
      <c r="B79" s="70">
        <v>21.6</v>
      </c>
      <c r="C79" s="151">
        <f t="shared" si="8"/>
        <v>134304.046</v>
      </c>
      <c r="D79" s="152">
        <v>2900967.3936000001</v>
      </c>
      <c r="E79" s="151">
        <f t="shared" si="9"/>
        <v>134812.296</v>
      </c>
      <c r="F79" s="152">
        <v>2911945.5936000003</v>
      </c>
      <c r="G79" s="151">
        <f t="shared" si="10"/>
        <v>135320.546</v>
      </c>
      <c r="H79" s="152">
        <v>2922923.7936</v>
      </c>
      <c r="I79" s="151">
        <f t="shared" si="11"/>
        <v>134812.296</v>
      </c>
      <c r="J79" s="152">
        <v>2911945.5936000003</v>
      </c>
      <c r="K79" s="112" t="s">
        <v>30</v>
      </c>
    </row>
    <row r="80" spans="1:11">
      <c r="A80" s="62" t="s">
        <v>44</v>
      </c>
      <c r="B80" s="63">
        <v>37.549999999999997</v>
      </c>
      <c r="C80" s="151">
        <f t="shared" si="8"/>
        <v>109942.607</v>
      </c>
      <c r="D80" s="152">
        <v>4128344.8928499999</v>
      </c>
      <c r="E80" s="151">
        <f t="shared" si="9"/>
        <v>110450.857</v>
      </c>
      <c r="F80" s="152">
        <v>4147429.68035</v>
      </c>
      <c r="G80" s="151">
        <f t="shared" si="10"/>
        <v>110959.10700000002</v>
      </c>
      <c r="H80" s="152">
        <v>4166514.4678500001</v>
      </c>
      <c r="I80" s="151">
        <f t="shared" si="11"/>
        <v>110450.857</v>
      </c>
      <c r="J80" s="152">
        <v>4147429.68035</v>
      </c>
      <c r="K80" s="112" t="s">
        <v>30</v>
      </c>
    </row>
    <row r="81" spans="1:11">
      <c r="A81" s="62" t="s">
        <v>45</v>
      </c>
      <c r="B81" s="63">
        <v>56.58</v>
      </c>
      <c r="C81" s="151">
        <f t="shared" si="8"/>
        <v>96332.688500000018</v>
      </c>
      <c r="D81" s="152">
        <v>5450503.5153300008</v>
      </c>
      <c r="E81" s="151">
        <f t="shared" si="9"/>
        <v>96840.938500000018</v>
      </c>
      <c r="F81" s="152">
        <v>5479260.3003300009</v>
      </c>
      <c r="G81" s="151">
        <f t="shared" si="10"/>
        <v>97349.188500000018</v>
      </c>
      <c r="H81" s="152">
        <v>5508017.0853300011</v>
      </c>
      <c r="I81" s="151">
        <f t="shared" si="11"/>
        <v>96840.938500000018</v>
      </c>
      <c r="J81" s="152">
        <v>5479260.3003300009</v>
      </c>
      <c r="K81" s="112" t="s">
        <v>30</v>
      </c>
    </row>
    <row r="82" spans="1:11" ht="15.75" thickBot="1">
      <c r="A82" s="68" t="s">
        <v>45</v>
      </c>
      <c r="B82" s="69">
        <v>58.22</v>
      </c>
      <c r="C82" s="149">
        <f t="shared" si="8"/>
        <v>95748.201000000015</v>
      </c>
      <c r="D82" s="150">
        <v>5574460.2622200008</v>
      </c>
      <c r="E82" s="149">
        <f t="shared" si="9"/>
        <v>96256.45100000003</v>
      </c>
      <c r="F82" s="150">
        <v>5604050.5772200013</v>
      </c>
      <c r="G82" s="149">
        <f t="shared" si="10"/>
        <v>96764.701000000015</v>
      </c>
      <c r="H82" s="150">
        <v>5633640.8922200007</v>
      </c>
      <c r="I82" s="149">
        <f t="shared" si="11"/>
        <v>96256.45100000003</v>
      </c>
      <c r="J82" s="106">
        <v>5604050.5772200013</v>
      </c>
      <c r="K82" s="113" t="s">
        <v>30</v>
      </c>
    </row>
    <row r="83" spans="1:11">
      <c r="A83" s="67" t="s">
        <v>46</v>
      </c>
      <c r="B83" s="70">
        <v>21.6</v>
      </c>
      <c r="C83" s="151">
        <f t="shared" si="8"/>
        <v>134304.046</v>
      </c>
      <c r="D83" s="152">
        <v>2900967.3936000001</v>
      </c>
      <c r="E83" s="151">
        <f t="shared" si="9"/>
        <v>134812.296</v>
      </c>
      <c r="F83" s="152">
        <v>2911945.5936000003</v>
      </c>
      <c r="G83" s="151">
        <f t="shared" si="10"/>
        <v>135320.546</v>
      </c>
      <c r="H83" s="152">
        <v>2922923.7936</v>
      </c>
      <c r="I83" s="151">
        <f t="shared" si="11"/>
        <v>134812.296</v>
      </c>
      <c r="J83" s="152">
        <v>2911945.5936000003</v>
      </c>
      <c r="K83" s="112" t="s">
        <v>30</v>
      </c>
    </row>
    <row r="84" spans="1:11">
      <c r="A84" s="62" t="s">
        <v>47</v>
      </c>
      <c r="B84" s="63">
        <v>37.549999999999997</v>
      </c>
      <c r="C84" s="151">
        <f t="shared" si="8"/>
        <v>115357.50250000002</v>
      </c>
      <c r="D84" s="152">
        <v>4331674.2188750003</v>
      </c>
      <c r="E84" s="151">
        <f t="shared" si="9"/>
        <v>115864.73600000002</v>
      </c>
      <c r="F84" s="152">
        <v>4350720.8368000006</v>
      </c>
      <c r="G84" s="151">
        <f t="shared" si="10"/>
        <v>116372.98600000002</v>
      </c>
      <c r="H84" s="152">
        <v>4369805.6243000003</v>
      </c>
      <c r="I84" s="151">
        <f t="shared" si="11"/>
        <v>115864.73600000002</v>
      </c>
      <c r="J84" s="152">
        <v>4350720.8368000006</v>
      </c>
      <c r="K84" s="25" t="s">
        <v>48</v>
      </c>
    </row>
    <row r="85" spans="1:11">
      <c r="A85" s="62" t="s">
        <v>49</v>
      </c>
      <c r="B85" s="63">
        <v>56.58</v>
      </c>
      <c r="C85" s="151">
        <f t="shared" si="8"/>
        <v>99010.149500000014</v>
      </c>
      <c r="D85" s="152">
        <v>5601994.2587100007</v>
      </c>
      <c r="E85" s="151">
        <f t="shared" si="9"/>
        <v>99518.3995</v>
      </c>
      <c r="F85" s="152">
        <v>5630751.0437099999</v>
      </c>
      <c r="G85" s="151">
        <f t="shared" si="10"/>
        <v>100026.6495</v>
      </c>
      <c r="H85" s="152">
        <v>5659507.82871</v>
      </c>
      <c r="I85" s="151">
        <f t="shared" si="11"/>
        <v>99518.3995</v>
      </c>
      <c r="J85" s="152">
        <v>5630751.0437099999</v>
      </c>
      <c r="K85" s="25" t="s">
        <v>48</v>
      </c>
    </row>
    <row r="86" spans="1:11" ht="15.75" thickBot="1">
      <c r="A86" s="68" t="s">
        <v>49</v>
      </c>
      <c r="B86" s="69">
        <v>58.22</v>
      </c>
      <c r="C86" s="149">
        <f t="shared" si="8"/>
        <v>98325.028500000015</v>
      </c>
      <c r="D86" s="150">
        <v>5724483.1592700006</v>
      </c>
      <c r="E86" s="149">
        <f t="shared" si="9"/>
        <v>98833.2785</v>
      </c>
      <c r="F86" s="150">
        <v>5754073.4742700001</v>
      </c>
      <c r="G86" s="149">
        <f t="shared" si="10"/>
        <v>99341.528500000015</v>
      </c>
      <c r="H86" s="150">
        <v>5783663.7892700005</v>
      </c>
      <c r="I86" s="149">
        <f t="shared" si="11"/>
        <v>98833.2785</v>
      </c>
      <c r="J86" s="106">
        <v>5754073.4742700001</v>
      </c>
      <c r="K86" s="18" t="s">
        <v>48</v>
      </c>
    </row>
    <row r="87" spans="1:11">
      <c r="A87" s="67" t="s">
        <v>50</v>
      </c>
      <c r="B87" s="71">
        <v>21.6</v>
      </c>
      <c r="C87" s="153">
        <f t="shared" si="8"/>
        <v>143715.81950000001</v>
      </c>
      <c r="D87" s="154">
        <v>3104261.7012000005</v>
      </c>
      <c r="E87" s="153">
        <f t="shared" si="9"/>
        <v>144224.06950000001</v>
      </c>
      <c r="F87" s="154">
        <v>3115239.9012000002</v>
      </c>
      <c r="G87" s="145">
        <f t="shared" si="10"/>
        <v>144732.31950000001</v>
      </c>
      <c r="H87" s="152">
        <v>3126218.1012000004</v>
      </c>
      <c r="I87" s="153">
        <f t="shared" si="11"/>
        <v>144224.06950000001</v>
      </c>
      <c r="J87" s="155">
        <v>3115239.9012000002</v>
      </c>
      <c r="K87" s="82" t="s">
        <v>48</v>
      </c>
    </row>
    <row r="88" spans="1:11">
      <c r="A88" s="62" t="s">
        <v>51</v>
      </c>
      <c r="B88" s="72">
        <v>37.549999999999997</v>
      </c>
      <c r="C88" s="156">
        <f t="shared" si="8"/>
        <v>115357.50250000002</v>
      </c>
      <c r="D88" s="154">
        <v>4331674.2188750003</v>
      </c>
      <c r="E88" s="156">
        <f t="shared" si="9"/>
        <v>115865.75250000003</v>
      </c>
      <c r="F88" s="154">
        <v>4350759.0063750008</v>
      </c>
      <c r="G88" s="151">
        <f t="shared" si="10"/>
        <v>116372.98600000002</v>
      </c>
      <c r="H88" s="152">
        <v>4369805.6243000003</v>
      </c>
      <c r="I88" s="156">
        <f t="shared" si="11"/>
        <v>115864.73600000002</v>
      </c>
      <c r="J88" s="107">
        <v>4350720.8368000006</v>
      </c>
      <c r="K88" s="82" t="s">
        <v>48</v>
      </c>
    </row>
    <row r="89" spans="1:11">
      <c r="A89" s="62" t="s">
        <v>52</v>
      </c>
      <c r="B89" s="72">
        <v>56.58</v>
      </c>
      <c r="C89" s="156">
        <f t="shared" si="8"/>
        <v>99010.149500000014</v>
      </c>
      <c r="D89" s="154">
        <v>5601994.2587100007</v>
      </c>
      <c r="E89" s="156">
        <f t="shared" si="9"/>
        <v>99518.3995</v>
      </c>
      <c r="F89" s="154">
        <v>5630751.0437099999</v>
      </c>
      <c r="G89" s="151">
        <f t="shared" si="10"/>
        <v>100026.6495</v>
      </c>
      <c r="H89" s="152">
        <v>5659507.82871</v>
      </c>
      <c r="I89" s="156">
        <f t="shared" si="11"/>
        <v>99518.3995</v>
      </c>
      <c r="J89" s="107">
        <v>5630751.0437099999</v>
      </c>
      <c r="K89" s="82" t="s">
        <v>48</v>
      </c>
    </row>
    <row r="90" spans="1:11" ht="15.75" thickBot="1">
      <c r="A90" s="68" t="s">
        <v>52</v>
      </c>
      <c r="B90" s="73">
        <v>58.22</v>
      </c>
      <c r="C90" s="157">
        <f t="shared" si="8"/>
        <v>98325.028500000015</v>
      </c>
      <c r="D90" s="158">
        <v>5724483.1592700006</v>
      </c>
      <c r="E90" s="157">
        <f t="shared" si="9"/>
        <v>98833.2785</v>
      </c>
      <c r="F90" s="158">
        <v>5754073.4742700001</v>
      </c>
      <c r="G90" s="149">
        <f t="shared" si="10"/>
        <v>99341.528500000015</v>
      </c>
      <c r="H90" s="150">
        <v>5783663.7892700005</v>
      </c>
      <c r="I90" s="157">
        <f t="shared" si="11"/>
        <v>98833.2785</v>
      </c>
      <c r="J90" s="106">
        <v>5754073.4742700001</v>
      </c>
      <c r="K90" s="83" t="s">
        <v>48</v>
      </c>
    </row>
    <row r="91" spans="1:11">
      <c r="A91" s="62" t="s">
        <v>53</v>
      </c>
      <c r="B91" s="74">
        <v>35.67</v>
      </c>
      <c r="C91" s="153">
        <f t="shared" si="8"/>
        <v>106855.49649999999</v>
      </c>
      <c r="D91" s="159">
        <v>3811535.5601550001</v>
      </c>
      <c r="E91" s="153">
        <f t="shared" si="9"/>
        <v>107363.74649999999</v>
      </c>
      <c r="F91" s="159">
        <v>3829664.8376549999</v>
      </c>
      <c r="G91" s="145">
        <f t="shared" si="10"/>
        <v>107871.99650000001</v>
      </c>
      <c r="H91" s="155">
        <v>3847794.1151550002</v>
      </c>
      <c r="I91" s="153">
        <f t="shared" si="11"/>
        <v>107363.74649999999</v>
      </c>
      <c r="J91" s="155">
        <v>3829664.8376549999</v>
      </c>
      <c r="K91" s="139" t="s">
        <v>30</v>
      </c>
    </row>
    <row r="92" spans="1:11" ht="15.75" thickBot="1">
      <c r="A92" s="68" t="s">
        <v>53</v>
      </c>
      <c r="B92" s="75">
        <v>37.090000000000003</v>
      </c>
      <c r="C92" s="160">
        <f t="shared" si="8"/>
        <v>106002.65299999999</v>
      </c>
      <c r="D92" s="161">
        <v>3931638.39977</v>
      </c>
      <c r="E92" s="160">
        <f t="shared" si="9"/>
        <v>106510.90299999999</v>
      </c>
      <c r="F92" s="161">
        <v>3950489.3922700002</v>
      </c>
      <c r="G92" s="144">
        <f t="shared" si="10"/>
        <v>107019.15299999999</v>
      </c>
      <c r="H92" s="162">
        <v>3969340.3847699999</v>
      </c>
      <c r="I92" s="160">
        <f t="shared" si="11"/>
        <v>106510.90299999999</v>
      </c>
      <c r="J92" s="162">
        <v>3950489.3922700002</v>
      </c>
      <c r="K92" s="140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L92"/>
  <sheetViews>
    <sheetView topLeftCell="A55" zoomScale="90" zoomScaleNormal="90" workbookViewId="0">
      <selection activeCell="B65" sqref="B65:J92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85546875" customWidth="1"/>
    <col min="14" max="14" width="10.140625" customWidth="1"/>
  </cols>
  <sheetData>
    <row r="1" spans="1:12" s="1" customFormat="1" ht="27.75" customHeight="1">
      <c r="A1" s="164" t="s">
        <v>123</v>
      </c>
      <c r="E1" s="4"/>
      <c r="G1" s="4"/>
      <c r="H1" s="4"/>
      <c r="I1" s="4"/>
      <c r="J1" s="4"/>
      <c r="K1" s="4"/>
      <c r="L1" s="4"/>
    </row>
    <row r="2" spans="1:12" ht="45" customHeight="1">
      <c r="A2" s="59" t="s">
        <v>21</v>
      </c>
      <c r="B2" s="60" t="s">
        <v>22</v>
      </c>
      <c r="C2" s="61" t="s">
        <v>23</v>
      </c>
      <c r="D2" s="60" t="s">
        <v>24</v>
      </c>
      <c r="E2" s="61" t="s">
        <v>25</v>
      </c>
      <c r="F2" s="60" t="s">
        <v>24</v>
      </c>
      <c r="G2" s="61" t="s">
        <v>26</v>
      </c>
      <c r="H2" s="60" t="s">
        <v>24</v>
      </c>
      <c r="I2" s="61" t="s">
        <v>27</v>
      </c>
      <c r="J2" s="60" t="s">
        <v>24</v>
      </c>
      <c r="K2" s="76" t="s">
        <v>28</v>
      </c>
      <c r="L2" s="77"/>
    </row>
    <row r="3" spans="1:12">
      <c r="A3" s="62" t="s">
        <v>29</v>
      </c>
      <c r="B3" s="63">
        <v>56.58</v>
      </c>
      <c r="C3" s="141">
        <v>89450</v>
      </c>
      <c r="D3" s="142">
        <f>C3*B3</f>
        <v>5061081</v>
      </c>
      <c r="E3" s="141">
        <v>89950</v>
      </c>
      <c r="F3" s="142">
        <f>E3*B3</f>
        <v>5089371</v>
      </c>
      <c r="G3" s="141">
        <v>90450</v>
      </c>
      <c r="H3" s="142">
        <f>G3*B3</f>
        <v>5117661</v>
      </c>
      <c r="I3" s="141">
        <v>89950</v>
      </c>
      <c r="J3" s="142">
        <f>I3*B3</f>
        <v>5089371</v>
      </c>
      <c r="K3" s="15" t="s">
        <v>30</v>
      </c>
      <c r="L3" s="78"/>
    </row>
    <row r="4" spans="1:12">
      <c r="A4" s="62" t="s">
        <v>29</v>
      </c>
      <c r="B4" s="64">
        <v>58.22</v>
      </c>
      <c r="C4" s="141">
        <v>89000</v>
      </c>
      <c r="D4" s="143">
        <f>C4*B4</f>
        <v>5181580</v>
      </c>
      <c r="E4" s="144">
        <v>89500</v>
      </c>
      <c r="F4" s="143">
        <f>E4*B4</f>
        <v>5210690</v>
      </c>
      <c r="G4" s="144">
        <v>90000</v>
      </c>
      <c r="H4" s="143">
        <f>G4*B4</f>
        <v>5239800</v>
      </c>
      <c r="I4" s="144">
        <v>89500</v>
      </c>
      <c r="J4" s="143">
        <f>I4*B4</f>
        <v>5210690</v>
      </c>
      <c r="K4" s="79" t="s">
        <v>30</v>
      </c>
      <c r="L4" s="78"/>
    </row>
    <row r="5" spans="1:12">
      <c r="A5" s="65" t="s">
        <v>31</v>
      </c>
      <c r="B5" s="66">
        <v>21.6</v>
      </c>
      <c r="C5" s="145">
        <v>130809</v>
      </c>
      <c r="D5" s="146">
        <f t="shared" ref="D5:D30" si="0">C5*B5</f>
        <v>2825474.4000000004</v>
      </c>
      <c r="E5" s="145">
        <v>131309</v>
      </c>
      <c r="F5" s="146">
        <f t="shared" ref="F5:F30" si="1">E5*B5</f>
        <v>2836274.4000000004</v>
      </c>
      <c r="G5" s="145">
        <v>131809</v>
      </c>
      <c r="H5" s="146">
        <f t="shared" ref="H5:H30" si="2">G5*B5</f>
        <v>2847074.4000000004</v>
      </c>
      <c r="I5" s="145">
        <v>131309</v>
      </c>
      <c r="J5" s="146">
        <f t="shared" ref="J5:J30" si="3">I5*B5</f>
        <v>2836274.4000000004</v>
      </c>
      <c r="K5" s="80" t="s">
        <v>30</v>
      </c>
      <c r="L5" s="78"/>
    </row>
    <row r="6" spans="1:12">
      <c r="A6" s="67" t="s">
        <v>32</v>
      </c>
      <c r="B6" s="63">
        <v>37.549999999999997</v>
      </c>
      <c r="C6" s="147">
        <v>102831</v>
      </c>
      <c r="D6" s="148">
        <f t="shared" si="0"/>
        <v>3861304.05</v>
      </c>
      <c r="E6" s="147">
        <v>103331</v>
      </c>
      <c r="F6" s="148">
        <f t="shared" si="1"/>
        <v>3880079.05</v>
      </c>
      <c r="G6" s="147">
        <v>103831</v>
      </c>
      <c r="H6" s="148">
        <f t="shared" si="2"/>
        <v>3898854.05</v>
      </c>
      <c r="I6" s="147">
        <v>103331</v>
      </c>
      <c r="J6" s="148">
        <f t="shared" si="3"/>
        <v>3880079.05</v>
      </c>
      <c r="K6" s="15" t="s">
        <v>30</v>
      </c>
      <c r="L6" s="78"/>
    </row>
    <row r="7" spans="1:12">
      <c r="A7" s="62" t="s">
        <v>33</v>
      </c>
      <c r="B7" s="63">
        <v>56.58</v>
      </c>
      <c r="C7" s="141">
        <v>89450</v>
      </c>
      <c r="D7" s="142">
        <f t="shared" si="0"/>
        <v>5061081</v>
      </c>
      <c r="E7" s="141">
        <v>89950</v>
      </c>
      <c r="F7" s="142">
        <f t="shared" si="1"/>
        <v>5089371</v>
      </c>
      <c r="G7" s="141">
        <v>90450</v>
      </c>
      <c r="H7" s="142">
        <f t="shared" si="2"/>
        <v>5117661</v>
      </c>
      <c r="I7" s="141">
        <v>89950</v>
      </c>
      <c r="J7" s="142">
        <f t="shared" si="3"/>
        <v>5089371</v>
      </c>
      <c r="K7" s="15" t="s">
        <v>30</v>
      </c>
      <c r="L7" s="78"/>
    </row>
    <row r="8" spans="1:12">
      <c r="A8" s="68" t="s">
        <v>34</v>
      </c>
      <c r="B8" s="69">
        <v>58.22</v>
      </c>
      <c r="C8" s="149">
        <v>89000</v>
      </c>
      <c r="D8" s="150">
        <f t="shared" si="0"/>
        <v>5181580</v>
      </c>
      <c r="E8" s="149">
        <v>89500</v>
      </c>
      <c r="F8" s="150">
        <f t="shared" si="1"/>
        <v>5210690</v>
      </c>
      <c r="G8" s="149">
        <v>90000</v>
      </c>
      <c r="H8" s="106">
        <f t="shared" si="2"/>
        <v>5239800</v>
      </c>
      <c r="I8" s="144">
        <v>89500</v>
      </c>
      <c r="J8" s="143">
        <f t="shared" si="3"/>
        <v>5210690</v>
      </c>
      <c r="K8" s="79" t="s">
        <v>30</v>
      </c>
      <c r="L8" s="78"/>
    </row>
    <row r="9" spans="1:12">
      <c r="A9" s="65" t="s">
        <v>35</v>
      </c>
      <c r="B9" s="66">
        <v>21.6</v>
      </c>
      <c r="C9" s="145">
        <v>130809</v>
      </c>
      <c r="D9" s="146">
        <f t="shared" ref="D9:D12" si="4">C9*B9</f>
        <v>2825474.4000000004</v>
      </c>
      <c r="E9" s="145">
        <v>131309</v>
      </c>
      <c r="F9" s="146">
        <f t="shared" ref="F9:F12" si="5">E9*B9</f>
        <v>2836274.4000000004</v>
      </c>
      <c r="G9" s="145">
        <v>131809</v>
      </c>
      <c r="H9" s="146">
        <f t="shared" ref="H9:H12" si="6">G9*B9</f>
        <v>2847074.4000000004</v>
      </c>
      <c r="I9" s="145">
        <v>131309</v>
      </c>
      <c r="J9" s="146">
        <f t="shared" ref="J9:J12" si="7">I9*B9</f>
        <v>2836274.4000000004</v>
      </c>
      <c r="K9" s="137" t="s">
        <v>30</v>
      </c>
      <c r="L9" s="78"/>
    </row>
    <row r="10" spans="1:12">
      <c r="A10" s="67" t="s">
        <v>36</v>
      </c>
      <c r="B10" s="63">
        <v>37.549999999999997</v>
      </c>
      <c r="C10" s="147">
        <v>102831</v>
      </c>
      <c r="D10" s="148">
        <f t="shared" si="4"/>
        <v>3861304.05</v>
      </c>
      <c r="E10" s="147">
        <v>103331</v>
      </c>
      <c r="F10" s="148">
        <f t="shared" si="5"/>
        <v>3880079.05</v>
      </c>
      <c r="G10" s="147">
        <v>103831</v>
      </c>
      <c r="H10" s="148">
        <f t="shared" si="6"/>
        <v>3898854.05</v>
      </c>
      <c r="I10" s="147">
        <v>103331</v>
      </c>
      <c r="J10" s="148">
        <f t="shared" si="7"/>
        <v>3880079.05</v>
      </c>
      <c r="K10" s="111" t="s">
        <v>30</v>
      </c>
      <c r="L10" s="78"/>
    </row>
    <row r="11" spans="1:12">
      <c r="A11" s="62" t="s">
        <v>37</v>
      </c>
      <c r="B11" s="63">
        <v>56.58</v>
      </c>
      <c r="C11" s="141">
        <v>89450</v>
      </c>
      <c r="D11" s="142">
        <f t="shared" si="4"/>
        <v>5061081</v>
      </c>
      <c r="E11" s="141">
        <v>89950</v>
      </c>
      <c r="F11" s="142">
        <f t="shared" si="5"/>
        <v>5089371</v>
      </c>
      <c r="G11" s="141">
        <v>90450</v>
      </c>
      <c r="H11" s="142">
        <f t="shared" si="6"/>
        <v>5117661</v>
      </c>
      <c r="I11" s="141">
        <v>89950</v>
      </c>
      <c r="J11" s="142">
        <f t="shared" si="7"/>
        <v>5089371</v>
      </c>
      <c r="K11" s="111" t="s">
        <v>30</v>
      </c>
      <c r="L11" s="78"/>
    </row>
    <row r="12" spans="1:12">
      <c r="A12" s="68" t="s">
        <v>38</v>
      </c>
      <c r="B12" s="69">
        <v>58.22</v>
      </c>
      <c r="C12" s="149">
        <v>89000</v>
      </c>
      <c r="D12" s="150">
        <f t="shared" si="4"/>
        <v>5181580</v>
      </c>
      <c r="E12" s="149">
        <v>89500</v>
      </c>
      <c r="F12" s="150">
        <f t="shared" si="5"/>
        <v>5210690</v>
      </c>
      <c r="G12" s="149">
        <v>90000</v>
      </c>
      <c r="H12" s="106">
        <f t="shared" si="6"/>
        <v>5239800</v>
      </c>
      <c r="I12" s="144">
        <v>89500</v>
      </c>
      <c r="J12" s="143">
        <f t="shared" si="7"/>
        <v>5210690</v>
      </c>
      <c r="K12" s="138" t="s">
        <v>30</v>
      </c>
      <c r="L12" s="78"/>
    </row>
    <row r="13" spans="1:12">
      <c r="A13" s="67" t="s">
        <v>39</v>
      </c>
      <c r="B13" s="70">
        <v>21.6</v>
      </c>
      <c r="C13" s="151">
        <v>143433</v>
      </c>
      <c r="D13" s="152">
        <f t="shared" si="0"/>
        <v>3098152.8000000003</v>
      </c>
      <c r="E13" s="151">
        <v>143933</v>
      </c>
      <c r="F13" s="152">
        <f t="shared" si="1"/>
        <v>3108952.8000000003</v>
      </c>
      <c r="G13" s="151">
        <v>144433</v>
      </c>
      <c r="H13" s="152">
        <f t="shared" si="2"/>
        <v>3119752.8000000003</v>
      </c>
      <c r="I13" s="151">
        <v>143933</v>
      </c>
      <c r="J13" s="152">
        <f t="shared" si="3"/>
        <v>3108952.8000000003</v>
      </c>
      <c r="K13" s="112" t="s">
        <v>30</v>
      </c>
      <c r="L13" s="78"/>
    </row>
    <row r="14" spans="1:12">
      <c r="A14" s="62" t="s">
        <v>41</v>
      </c>
      <c r="B14" s="63">
        <v>37.549999999999997</v>
      </c>
      <c r="C14" s="151">
        <v>115335</v>
      </c>
      <c r="D14" s="152">
        <f t="shared" si="0"/>
        <v>4330829.25</v>
      </c>
      <c r="E14" s="151">
        <v>115835</v>
      </c>
      <c r="F14" s="152">
        <f t="shared" si="1"/>
        <v>4349604.25</v>
      </c>
      <c r="G14" s="151">
        <v>116335</v>
      </c>
      <c r="H14" s="152">
        <f t="shared" si="2"/>
        <v>4368379.25</v>
      </c>
      <c r="I14" s="151">
        <v>115835</v>
      </c>
      <c r="J14" s="152">
        <f t="shared" si="3"/>
        <v>4349604.25</v>
      </c>
      <c r="K14" s="25" t="s">
        <v>40</v>
      </c>
      <c r="L14" s="81"/>
    </row>
    <row r="15" spans="1:12">
      <c r="A15" s="62" t="s">
        <v>42</v>
      </c>
      <c r="B15" s="63">
        <v>56.58</v>
      </c>
      <c r="C15" s="151">
        <v>99553</v>
      </c>
      <c r="D15" s="152">
        <f t="shared" si="0"/>
        <v>5632708.7400000002</v>
      </c>
      <c r="E15" s="151">
        <v>100053</v>
      </c>
      <c r="F15" s="152">
        <f t="shared" si="1"/>
        <v>5660998.7400000002</v>
      </c>
      <c r="G15" s="151">
        <v>100553</v>
      </c>
      <c r="H15" s="152">
        <f t="shared" si="2"/>
        <v>5689288.7400000002</v>
      </c>
      <c r="I15" s="151">
        <v>100053</v>
      </c>
      <c r="J15" s="152">
        <f t="shared" si="3"/>
        <v>5660998.7400000002</v>
      </c>
      <c r="K15" s="25" t="s">
        <v>40</v>
      </c>
      <c r="L15" s="78"/>
    </row>
    <row r="16" spans="1:12">
      <c r="A16" s="68" t="s">
        <v>42</v>
      </c>
      <c r="B16" s="69">
        <v>58.22</v>
      </c>
      <c r="C16" s="149">
        <v>98879</v>
      </c>
      <c r="D16" s="150">
        <f t="shared" si="0"/>
        <v>5756735.3799999999</v>
      </c>
      <c r="E16" s="149">
        <v>99879</v>
      </c>
      <c r="F16" s="150">
        <f t="shared" si="1"/>
        <v>5814955.3799999999</v>
      </c>
      <c r="G16" s="149">
        <v>99879</v>
      </c>
      <c r="H16" s="150">
        <f t="shared" si="2"/>
        <v>5814955.3799999999</v>
      </c>
      <c r="I16" s="149">
        <v>99379</v>
      </c>
      <c r="J16" s="106">
        <f t="shared" si="3"/>
        <v>5785845.3799999999</v>
      </c>
      <c r="K16" s="18" t="s">
        <v>40</v>
      </c>
      <c r="L16" s="78"/>
    </row>
    <row r="17" spans="1:12" ht="18.75" customHeight="1">
      <c r="A17" s="67" t="s">
        <v>43</v>
      </c>
      <c r="B17" s="70">
        <v>21.6</v>
      </c>
      <c r="C17" s="151">
        <v>132124</v>
      </c>
      <c r="D17" s="152">
        <f t="shared" si="0"/>
        <v>2853878.4000000004</v>
      </c>
      <c r="E17" s="151">
        <v>132624</v>
      </c>
      <c r="F17" s="152">
        <f t="shared" si="1"/>
        <v>2864678.4000000004</v>
      </c>
      <c r="G17" s="151">
        <v>133124</v>
      </c>
      <c r="H17" s="152">
        <f t="shared" si="2"/>
        <v>2875478.4000000004</v>
      </c>
      <c r="I17" s="151">
        <v>132624</v>
      </c>
      <c r="J17" s="152">
        <f t="shared" si="3"/>
        <v>2864678.4000000004</v>
      </c>
      <c r="K17" s="112" t="s">
        <v>30</v>
      </c>
      <c r="L17" s="78"/>
    </row>
    <row r="18" spans="1:12">
      <c r="A18" s="62" t="s">
        <v>44</v>
      </c>
      <c r="B18" s="63">
        <v>37.549999999999997</v>
      </c>
      <c r="C18" s="151">
        <v>108158</v>
      </c>
      <c r="D18" s="152">
        <f t="shared" si="0"/>
        <v>4061332.9</v>
      </c>
      <c r="E18" s="151">
        <v>108658</v>
      </c>
      <c r="F18" s="152">
        <f t="shared" si="1"/>
        <v>4080107.9</v>
      </c>
      <c r="G18" s="151">
        <v>109158</v>
      </c>
      <c r="H18" s="152">
        <f t="shared" si="2"/>
        <v>4098882.9</v>
      </c>
      <c r="I18" s="151">
        <v>108658</v>
      </c>
      <c r="J18" s="152">
        <f t="shared" si="3"/>
        <v>4080107.9</v>
      </c>
      <c r="K18" s="112" t="s">
        <v>30</v>
      </c>
      <c r="L18" s="78"/>
    </row>
    <row r="19" spans="1:12">
      <c r="A19" s="62" t="s">
        <v>45</v>
      </c>
      <c r="B19" s="63">
        <v>56.58</v>
      </c>
      <c r="C19" s="151">
        <v>94769</v>
      </c>
      <c r="D19" s="152">
        <f t="shared" si="0"/>
        <v>5362030.0199999996</v>
      </c>
      <c r="E19" s="151">
        <v>95269</v>
      </c>
      <c r="F19" s="152">
        <f t="shared" si="1"/>
        <v>5390320.0199999996</v>
      </c>
      <c r="G19" s="151">
        <v>95769</v>
      </c>
      <c r="H19" s="152">
        <f t="shared" si="2"/>
        <v>5418610.0199999996</v>
      </c>
      <c r="I19" s="151">
        <v>95269</v>
      </c>
      <c r="J19" s="152">
        <f t="shared" si="3"/>
        <v>5390320.0199999996</v>
      </c>
      <c r="K19" s="112" t="s">
        <v>30</v>
      </c>
      <c r="L19" s="78"/>
    </row>
    <row r="20" spans="1:12">
      <c r="A20" s="68" t="s">
        <v>45</v>
      </c>
      <c r="B20" s="69">
        <v>58.22</v>
      </c>
      <c r="C20" s="149">
        <v>94194</v>
      </c>
      <c r="D20" s="150">
        <f t="shared" si="0"/>
        <v>5483974.6799999997</v>
      </c>
      <c r="E20" s="149">
        <v>94694</v>
      </c>
      <c r="F20" s="150">
        <f t="shared" si="1"/>
        <v>5513084.6799999997</v>
      </c>
      <c r="G20" s="149">
        <v>95194</v>
      </c>
      <c r="H20" s="150">
        <f t="shared" si="2"/>
        <v>5542194.6799999997</v>
      </c>
      <c r="I20" s="149">
        <v>94694</v>
      </c>
      <c r="J20" s="106">
        <f t="shared" si="3"/>
        <v>5513084.6799999997</v>
      </c>
      <c r="K20" s="113" t="s">
        <v>30</v>
      </c>
      <c r="L20" s="78"/>
    </row>
    <row r="21" spans="1:12">
      <c r="A21" s="67" t="s">
        <v>46</v>
      </c>
      <c r="B21" s="70">
        <v>21.6</v>
      </c>
      <c r="C21" s="151">
        <v>132124</v>
      </c>
      <c r="D21" s="152">
        <f t="shared" si="0"/>
        <v>2853878.4000000004</v>
      </c>
      <c r="E21" s="151">
        <v>132624</v>
      </c>
      <c r="F21" s="152">
        <f t="shared" si="1"/>
        <v>2864678.4000000004</v>
      </c>
      <c r="G21" s="151">
        <v>133124</v>
      </c>
      <c r="H21" s="152">
        <f t="shared" si="2"/>
        <v>2875478.4000000004</v>
      </c>
      <c r="I21" s="151">
        <v>132624</v>
      </c>
      <c r="J21" s="152">
        <f t="shared" si="3"/>
        <v>2864678.4000000004</v>
      </c>
      <c r="K21" s="112" t="s">
        <v>30</v>
      </c>
      <c r="L21" s="78"/>
    </row>
    <row r="22" spans="1:12">
      <c r="A22" s="62" t="s">
        <v>47</v>
      </c>
      <c r="B22" s="63">
        <v>37.549999999999997</v>
      </c>
      <c r="C22" s="151">
        <v>113485</v>
      </c>
      <c r="D22" s="152">
        <f t="shared" si="0"/>
        <v>4261361.75</v>
      </c>
      <c r="E22" s="151">
        <v>113984</v>
      </c>
      <c r="F22" s="152">
        <f t="shared" si="1"/>
        <v>4280099.1999999993</v>
      </c>
      <c r="G22" s="151">
        <v>114484</v>
      </c>
      <c r="H22" s="152">
        <f t="shared" si="2"/>
        <v>4298874.1999999993</v>
      </c>
      <c r="I22" s="151">
        <v>113984</v>
      </c>
      <c r="J22" s="152">
        <f t="shared" si="3"/>
        <v>4280099.1999999993</v>
      </c>
      <c r="K22" s="25" t="s">
        <v>48</v>
      </c>
      <c r="L22" s="81"/>
    </row>
    <row r="23" spans="1:12">
      <c r="A23" s="62" t="s">
        <v>49</v>
      </c>
      <c r="B23" s="63">
        <v>56.58</v>
      </c>
      <c r="C23" s="151">
        <v>97403</v>
      </c>
      <c r="D23" s="152">
        <f t="shared" si="0"/>
        <v>5511061.7400000002</v>
      </c>
      <c r="E23" s="151">
        <v>97903</v>
      </c>
      <c r="F23" s="152">
        <f t="shared" si="1"/>
        <v>5539351.7400000002</v>
      </c>
      <c r="G23" s="151">
        <v>98403</v>
      </c>
      <c r="H23" s="152">
        <f t="shared" si="2"/>
        <v>5567641.7400000002</v>
      </c>
      <c r="I23" s="151">
        <v>97903</v>
      </c>
      <c r="J23" s="152">
        <f t="shared" si="3"/>
        <v>5539351.7400000002</v>
      </c>
      <c r="K23" s="25" t="s">
        <v>48</v>
      </c>
      <c r="L23" s="78"/>
    </row>
    <row r="24" spans="1:12" ht="16.5" customHeight="1">
      <c r="A24" s="68" t="s">
        <v>49</v>
      </c>
      <c r="B24" s="69">
        <v>58.22</v>
      </c>
      <c r="C24" s="149">
        <v>96729</v>
      </c>
      <c r="D24" s="150">
        <f t="shared" si="0"/>
        <v>5631562.3799999999</v>
      </c>
      <c r="E24" s="149">
        <v>97229</v>
      </c>
      <c r="F24" s="150">
        <f t="shared" si="1"/>
        <v>5660672.3799999999</v>
      </c>
      <c r="G24" s="149">
        <v>97729</v>
      </c>
      <c r="H24" s="150">
        <f t="shared" si="2"/>
        <v>5689782.3799999999</v>
      </c>
      <c r="I24" s="149">
        <v>97229</v>
      </c>
      <c r="J24" s="106">
        <f t="shared" si="3"/>
        <v>5660672.3799999999</v>
      </c>
      <c r="K24" s="18" t="s">
        <v>48</v>
      </c>
      <c r="L24" s="78"/>
    </row>
    <row r="25" spans="1:12">
      <c r="A25" s="67" t="s">
        <v>50</v>
      </c>
      <c r="B25" s="71">
        <v>21.6</v>
      </c>
      <c r="C25" s="153">
        <v>141383</v>
      </c>
      <c r="D25" s="154">
        <f t="shared" si="0"/>
        <v>3053872.8000000003</v>
      </c>
      <c r="E25" s="153">
        <v>141883</v>
      </c>
      <c r="F25" s="154">
        <f t="shared" si="1"/>
        <v>3064672.8000000003</v>
      </c>
      <c r="G25" s="145">
        <v>142383</v>
      </c>
      <c r="H25" s="152">
        <f t="shared" si="2"/>
        <v>3075472.8000000003</v>
      </c>
      <c r="I25" s="153">
        <v>141883</v>
      </c>
      <c r="J25" s="155">
        <f t="shared" si="3"/>
        <v>3064672.8000000003</v>
      </c>
      <c r="K25" s="82" t="s">
        <v>48</v>
      </c>
      <c r="L25" s="78"/>
    </row>
    <row r="26" spans="1:12">
      <c r="A26" s="62" t="s">
        <v>51</v>
      </c>
      <c r="B26" s="72">
        <v>37.549999999999997</v>
      </c>
      <c r="C26" s="156">
        <v>113485</v>
      </c>
      <c r="D26" s="154">
        <f t="shared" si="0"/>
        <v>4261361.75</v>
      </c>
      <c r="E26" s="156">
        <v>113985</v>
      </c>
      <c r="F26" s="154">
        <f t="shared" si="1"/>
        <v>4280136.75</v>
      </c>
      <c r="G26" s="151">
        <v>114484</v>
      </c>
      <c r="H26" s="152">
        <f t="shared" si="2"/>
        <v>4298874.1999999993</v>
      </c>
      <c r="I26" s="156">
        <v>113984</v>
      </c>
      <c r="J26" s="107">
        <f t="shared" si="3"/>
        <v>4280099.1999999993</v>
      </c>
      <c r="K26" s="82" t="s">
        <v>48</v>
      </c>
      <c r="L26" s="81"/>
    </row>
    <row r="27" spans="1:12">
      <c r="A27" s="62" t="s">
        <v>52</v>
      </c>
      <c r="B27" s="72">
        <v>56.58</v>
      </c>
      <c r="C27" s="156">
        <v>97403</v>
      </c>
      <c r="D27" s="154">
        <f t="shared" si="0"/>
        <v>5511061.7400000002</v>
      </c>
      <c r="E27" s="156">
        <v>97903</v>
      </c>
      <c r="F27" s="154">
        <f t="shared" si="1"/>
        <v>5539351.7400000002</v>
      </c>
      <c r="G27" s="151">
        <v>98403</v>
      </c>
      <c r="H27" s="152">
        <f t="shared" si="2"/>
        <v>5567641.7400000002</v>
      </c>
      <c r="I27" s="156">
        <v>97903</v>
      </c>
      <c r="J27" s="107">
        <f t="shared" si="3"/>
        <v>5539351.7400000002</v>
      </c>
      <c r="K27" s="82" t="s">
        <v>48</v>
      </c>
      <c r="L27" s="78"/>
    </row>
    <row r="28" spans="1:12">
      <c r="A28" s="68" t="s">
        <v>52</v>
      </c>
      <c r="B28" s="73">
        <v>58.22</v>
      </c>
      <c r="C28" s="157">
        <v>96729</v>
      </c>
      <c r="D28" s="158">
        <f t="shared" si="0"/>
        <v>5631562.3799999999</v>
      </c>
      <c r="E28" s="157">
        <v>97229</v>
      </c>
      <c r="F28" s="158">
        <f t="shared" si="1"/>
        <v>5660672.3799999999</v>
      </c>
      <c r="G28" s="149">
        <v>97729</v>
      </c>
      <c r="H28" s="150">
        <f t="shared" si="2"/>
        <v>5689782.3799999999</v>
      </c>
      <c r="I28" s="157">
        <v>97229</v>
      </c>
      <c r="J28" s="106">
        <f t="shared" si="3"/>
        <v>5660672.3799999999</v>
      </c>
      <c r="K28" s="83" t="s">
        <v>48</v>
      </c>
      <c r="L28" s="78"/>
    </row>
    <row r="29" spans="1:12">
      <c r="A29" s="62" t="s">
        <v>53</v>
      </c>
      <c r="B29" s="74">
        <v>35.67</v>
      </c>
      <c r="C29" s="153">
        <v>105121</v>
      </c>
      <c r="D29" s="159">
        <f t="shared" si="0"/>
        <v>3749666.0700000003</v>
      </c>
      <c r="E29" s="153">
        <v>105621</v>
      </c>
      <c r="F29" s="159">
        <f t="shared" si="1"/>
        <v>3767501.0700000003</v>
      </c>
      <c r="G29" s="145">
        <v>106121</v>
      </c>
      <c r="H29" s="155">
        <f t="shared" si="2"/>
        <v>3785336.0700000003</v>
      </c>
      <c r="I29" s="153">
        <v>105621</v>
      </c>
      <c r="J29" s="155">
        <f t="shared" si="3"/>
        <v>3767501.0700000003</v>
      </c>
      <c r="K29" s="139" t="s">
        <v>30</v>
      </c>
      <c r="L29" s="78"/>
    </row>
    <row r="30" spans="1:12">
      <c r="A30" s="68" t="s">
        <v>53</v>
      </c>
      <c r="B30" s="75">
        <v>37.090000000000003</v>
      </c>
      <c r="C30" s="160">
        <v>104282</v>
      </c>
      <c r="D30" s="161">
        <f t="shared" si="0"/>
        <v>3867819.3800000004</v>
      </c>
      <c r="E30" s="160">
        <v>104782</v>
      </c>
      <c r="F30" s="161">
        <f t="shared" si="1"/>
        <v>3886364.3800000004</v>
      </c>
      <c r="G30" s="144">
        <v>105282</v>
      </c>
      <c r="H30" s="162">
        <f t="shared" si="2"/>
        <v>3904909.3800000004</v>
      </c>
      <c r="I30" s="160">
        <v>104782</v>
      </c>
      <c r="J30" s="162">
        <f t="shared" si="3"/>
        <v>3886364.3800000004</v>
      </c>
      <c r="K30" s="140" t="s">
        <v>30</v>
      </c>
      <c r="L30" s="78"/>
    </row>
    <row r="31" spans="1:12">
      <c r="D31" s="34"/>
    </row>
    <row r="32" spans="1:12" ht="19.5" thickBot="1">
      <c r="A32" s="164" t="s">
        <v>124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7.5" customHeight="1">
      <c r="A33" s="59" t="s">
        <v>21</v>
      </c>
      <c r="B33" s="60" t="s">
        <v>22</v>
      </c>
      <c r="C33" s="61" t="s">
        <v>23</v>
      </c>
      <c r="D33" s="60" t="s">
        <v>24</v>
      </c>
      <c r="E33" s="61" t="s">
        <v>25</v>
      </c>
      <c r="F33" s="60" t="s">
        <v>24</v>
      </c>
      <c r="G33" s="61" t="s">
        <v>26</v>
      </c>
      <c r="H33" s="60" t="s">
        <v>24</v>
      </c>
      <c r="I33" s="61" t="s">
        <v>27</v>
      </c>
      <c r="J33" s="60" t="s">
        <v>24</v>
      </c>
      <c r="K33" s="76" t="s">
        <v>28</v>
      </c>
    </row>
    <row r="34" spans="1:11">
      <c r="A34" s="62" t="s">
        <v>29</v>
      </c>
      <c r="B34" s="63">
        <v>56.58</v>
      </c>
      <c r="C34" s="141">
        <f>D34/B34</f>
        <v>84977.5</v>
      </c>
      <c r="D34" s="142">
        <v>4808026.95</v>
      </c>
      <c r="E34" s="141">
        <f>F34/B34</f>
        <v>85452.5</v>
      </c>
      <c r="F34" s="142">
        <v>4834902.45</v>
      </c>
      <c r="G34" s="141">
        <f>H34/B34</f>
        <v>85927.5</v>
      </c>
      <c r="H34" s="142">
        <v>4861777.95</v>
      </c>
      <c r="I34" s="141">
        <f>J34/B34</f>
        <v>85452.5</v>
      </c>
      <c r="J34" s="142">
        <v>4834902.45</v>
      </c>
      <c r="K34" s="15" t="s">
        <v>30</v>
      </c>
    </row>
    <row r="35" spans="1:11">
      <c r="A35" s="62" t="s">
        <v>29</v>
      </c>
      <c r="B35" s="64">
        <v>58.22</v>
      </c>
      <c r="C35" s="141">
        <f t="shared" ref="C35:C61" si="8">D35/B35</f>
        <v>84550</v>
      </c>
      <c r="D35" s="143">
        <v>4922501</v>
      </c>
      <c r="E35" s="144">
        <f t="shared" ref="E35:E61" si="9">F35/B35</f>
        <v>85025</v>
      </c>
      <c r="F35" s="143">
        <v>4950155.5</v>
      </c>
      <c r="G35" s="144">
        <f t="shared" ref="G35:G61" si="10">H35/B35</f>
        <v>85500</v>
      </c>
      <c r="H35" s="143">
        <v>4977810</v>
      </c>
      <c r="I35" s="144">
        <f t="shared" ref="I35:I61" si="11">J35/B35</f>
        <v>85025</v>
      </c>
      <c r="J35" s="143">
        <v>4950155.5</v>
      </c>
      <c r="K35" s="79" t="s">
        <v>30</v>
      </c>
    </row>
    <row r="36" spans="1:11">
      <c r="A36" s="65" t="s">
        <v>31</v>
      </c>
      <c r="B36" s="66">
        <v>21.6</v>
      </c>
      <c r="C36" s="145">
        <f t="shared" si="8"/>
        <v>124268.55</v>
      </c>
      <c r="D36" s="146">
        <v>2684200.6800000002</v>
      </c>
      <c r="E36" s="145">
        <f t="shared" si="9"/>
        <v>124743.55</v>
      </c>
      <c r="F36" s="146">
        <v>2694460.68</v>
      </c>
      <c r="G36" s="145">
        <f t="shared" si="10"/>
        <v>125218.55</v>
      </c>
      <c r="H36" s="146">
        <v>2704720.68</v>
      </c>
      <c r="I36" s="145">
        <f t="shared" si="11"/>
        <v>124743.55</v>
      </c>
      <c r="J36" s="146">
        <v>2694460.68</v>
      </c>
      <c r="K36" s="80" t="s">
        <v>30</v>
      </c>
    </row>
    <row r="37" spans="1:11">
      <c r="A37" s="67" t="s">
        <v>32</v>
      </c>
      <c r="B37" s="63">
        <v>37.549999999999997</v>
      </c>
      <c r="C37" s="147">
        <f t="shared" si="8"/>
        <v>97689.450000000012</v>
      </c>
      <c r="D37" s="148">
        <v>3668238.8475000001</v>
      </c>
      <c r="E37" s="147">
        <f t="shared" si="9"/>
        <v>98164.450000000012</v>
      </c>
      <c r="F37" s="148">
        <v>3686075.0975000001</v>
      </c>
      <c r="G37" s="147">
        <f t="shared" si="10"/>
        <v>98639.450000000012</v>
      </c>
      <c r="H37" s="148">
        <v>3703911.3475000001</v>
      </c>
      <c r="I37" s="147">
        <f t="shared" si="11"/>
        <v>98164.450000000012</v>
      </c>
      <c r="J37" s="148">
        <v>3686075.0975000001</v>
      </c>
      <c r="K37" s="15" t="s">
        <v>30</v>
      </c>
    </row>
    <row r="38" spans="1:11">
      <c r="A38" s="62" t="s">
        <v>33</v>
      </c>
      <c r="B38" s="63">
        <v>56.58</v>
      </c>
      <c r="C38" s="141">
        <f t="shared" si="8"/>
        <v>84977.5</v>
      </c>
      <c r="D38" s="142">
        <v>4808026.95</v>
      </c>
      <c r="E38" s="141">
        <f t="shared" si="9"/>
        <v>85452.5</v>
      </c>
      <c r="F38" s="142">
        <v>4834902.45</v>
      </c>
      <c r="G38" s="141">
        <f t="shared" si="10"/>
        <v>85927.5</v>
      </c>
      <c r="H38" s="142">
        <v>4861777.95</v>
      </c>
      <c r="I38" s="141">
        <f t="shared" si="11"/>
        <v>85452.5</v>
      </c>
      <c r="J38" s="142">
        <v>4834902.45</v>
      </c>
      <c r="K38" s="15" t="s">
        <v>30</v>
      </c>
    </row>
    <row r="39" spans="1:11">
      <c r="A39" s="68" t="s">
        <v>34</v>
      </c>
      <c r="B39" s="69">
        <v>58.22</v>
      </c>
      <c r="C39" s="149">
        <f t="shared" si="8"/>
        <v>84550</v>
      </c>
      <c r="D39" s="150">
        <v>4922501</v>
      </c>
      <c r="E39" s="149">
        <f t="shared" si="9"/>
        <v>85025</v>
      </c>
      <c r="F39" s="150">
        <v>4950155.5</v>
      </c>
      <c r="G39" s="149">
        <f t="shared" si="10"/>
        <v>85500</v>
      </c>
      <c r="H39" s="106">
        <v>4977810</v>
      </c>
      <c r="I39" s="144">
        <f t="shared" si="11"/>
        <v>85025</v>
      </c>
      <c r="J39" s="143">
        <v>4950155.5</v>
      </c>
      <c r="K39" s="79" t="s">
        <v>30</v>
      </c>
    </row>
    <row r="40" spans="1:11">
      <c r="A40" s="65" t="s">
        <v>35</v>
      </c>
      <c r="B40" s="66">
        <v>21.6</v>
      </c>
      <c r="C40" s="145">
        <f t="shared" si="8"/>
        <v>124268.55</v>
      </c>
      <c r="D40" s="146">
        <v>2684200.6800000002</v>
      </c>
      <c r="E40" s="145">
        <f t="shared" si="9"/>
        <v>124743.55</v>
      </c>
      <c r="F40" s="146">
        <v>2694460.68</v>
      </c>
      <c r="G40" s="145">
        <f t="shared" si="10"/>
        <v>125218.55</v>
      </c>
      <c r="H40" s="146">
        <v>2704720.68</v>
      </c>
      <c r="I40" s="145">
        <f t="shared" si="11"/>
        <v>124743.55</v>
      </c>
      <c r="J40" s="146">
        <v>2694460.68</v>
      </c>
      <c r="K40" s="137" t="s">
        <v>30</v>
      </c>
    </row>
    <row r="41" spans="1:11">
      <c r="A41" s="67" t="s">
        <v>36</v>
      </c>
      <c r="B41" s="63">
        <v>37.549999999999997</v>
      </c>
      <c r="C41" s="147">
        <f t="shared" si="8"/>
        <v>97689.450000000012</v>
      </c>
      <c r="D41" s="148">
        <v>3668238.8475000001</v>
      </c>
      <c r="E41" s="147">
        <f t="shared" si="9"/>
        <v>98164.450000000012</v>
      </c>
      <c r="F41" s="148">
        <v>3686075.0975000001</v>
      </c>
      <c r="G41" s="147">
        <f t="shared" si="10"/>
        <v>98639.450000000012</v>
      </c>
      <c r="H41" s="148">
        <v>3703911.3475000001</v>
      </c>
      <c r="I41" s="147">
        <f t="shared" si="11"/>
        <v>98164.450000000012</v>
      </c>
      <c r="J41" s="148">
        <v>3686075.0975000001</v>
      </c>
      <c r="K41" s="111" t="s">
        <v>30</v>
      </c>
    </row>
    <row r="42" spans="1:11">
      <c r="A42" s="62" t="s">
        <v>37</v>
      </c>
      <c r="B42" s="63">
        <v>56.58</v>
      </c>
      <c r="C42" s="141">
        <f t="shared" si="8"/>
        <v>84977.5</v>
      </c>
      <c r="D42" s="142">
        <v>4808026.95</v>
      </c>
      <c r="E42" s="141">
        <f t="shared" si="9"/>
        <v>85452.5</v>
      </c>
      <c r="F42" s="142">
        <v>4834902.45</v>
      </c>
      <c r="G42" s="141">
        <f t="shared" si="10"/>
        <v>85927.5</v>
      </c>
      <c r="H42" s="142">
        <v>4861777.95</v>
      </c>
      <c r="I42" s="141">
        <f t="shared" si="11"/>
        <v>85452.5</v>
      </c>
      <c r="J42" s="142">
        <v>4834902.45</v>
      </c>
      <c r="K42" s="111" t="s">
        <v>30</v>
      </c>
    </row>
    <row r="43" spans="1:11">
      <c r="A43" s="68" t="s">
        <v>38</v>
      </c>
      <c r="B43" s="69">
        <v>58.22</v>
      </c>
      <c r="C43" s="149">
        <f t="shared" si="8"/>
        <v>84550</v>
      </c>
      <c r="D43" s="150">
        <v>4922501</v>
      </c>
      <c r="E43" s="149">
        <f t="shared" si="9"/>
        <v>85025</v>
      </c>
      <c r="F43" s="150">
        <v>4950155.5</v>
      </c>
      <c r="G43" s="149">
        <f t="shared" si="10"/>
        <v>85500</v>
      </c>
      <c r="H43" s="106">
        <v>4977810</v>
      </c>
      <c r="I43" s="144">
        <f t="shared" si="11"/>
        <v>85025</v>
      </c>
      <c r="J43" s="143">
        <v>4950155.5</v>
      </c>
      <c r="K43" s="138" t="s">
        <v>30</v>
      </c>
    </row>
    <row r="44" spans="1:11">
      <c r="A44" s="67" t="s">
        <v>39</v>
      </c>
      <c r="B44" s="70">
        <v>21.6</v>
      </c>
      <c r="C44" s="151">
        <f t="shared" si="8"/>
        <v>136261.35</v>
      </c>
      <c r="D44" s="152">
        <v>2943245.16</v>
      </c>
      <c r="E44" s="151">
        <f t="shared" si="9"/>
        <v>136736.35</v>
      </c>
      <c r="F44" s="152">
        <v>2953505.16</v>
      </c>
      <c r="G44" s="151">
        <f t="shared" si="10"/>
        <v>137211.35</v>
      </c>
      <c r="H44" s="152">
        <v>2963765.16</v>
      </c>
      <c r="I44" s="151">
        <f t="shared" si="11"/>
        <v>136736.35</v>
      </c>
      <c r="J44" s="152">
        <v>2953505.16</v>
      </c>
      <c r="K44" s="112" t="s">
        <v>30</v>
      </c>
    </row>
    <row r="45" spans="1:11">
      <c r="A45" s="62" t="s">
        <v>41</v>
      </c>
      <c r="B45" s="63">
        <v>37.549999999999997</v>
      </c>
      <c r="C45" s="151">
        <f t="shared" si="8"/>
        <v>109568.25000000001</v>
      </c>
      <c r="D45" s="152">
        <v>4114287.7875000001</v>
      </c>
      <c r="E45" s="151">
        <f t="shared" si="9"/>
        <v>110043.25000000001</v>
      </c>
      <c r="F45" s="152">
        <v>4132124.0375000001</v>
      </c>
      <c r="G45" s="151">
        <f t="shared" si="10"/>
        <v>110518.25000000001</v>
      </c>
      <c r="H45" s="152">
        <v>4149960.2875000001</v>
      </c>
      <c r="I45" s="151">
        <f t="shared" si="11"/>
        <v>110043.25000000001</v>
      </c>
      <c r="J45" s="152">
        <v>4132124.0375000001</v>
      </c>
      <c r="K45" s="25" t="s">
        <v>40</v>
      </c>
    </row>
    <row r="46" spans="1:11">
      <c r="A46" s="62" t="s">
        <v>42</v>
      </c>
      <c r="B46" s="63">
        <v>56.58</v>
      </c>
      <c r="C46" s="151">
        <f t="shared" si="8"/>
        <v>94575.35</v>
      </c>
      <c r="D46" s="152">
        <v>5351073.3030000003</v>
      </c>
      <c r="E46" s="151">
        <f t="shared" si="9"/>
        <v>95050.35</v>
      </c>
      <c r="F46" s="152">
        <v>5377948.8030000003</v>
      </c>
      <c r="G46" s="151">
        <f t="shared" si="10"/>
        <v>95525.35</v>
      </c>
      <c r="H46" s="152">
        <v>5404824.3030000003</v>
      </c>
      <c r="I46" s="151">
        <f t="shared" si="11"/>
        <v>95050.35</v>
      </c>
      <c r="J46" s="152">
        <v>5377948.8030000003</v>
      </c>
      <c r="K46" s="25" t="s">
        <v>40</v>
      </c>
    </row>
    <row r="47" spans="1:11">
      <c r="A47" s="68" t="s">
        <v>42</v>
      </c>
      <c r="B47" s="69">
        <v>58.22</v>
      </c>
      <c r="C47" s="149">
        <f t="shared" si="8"/>
        <v>93935.049999999988</v>
      </c>
      <c r="D47" s="150">
        <v>5468898.6109999996</v>
      </c>
      <c r="E47" s="149">
        <f t="shared" si="9"/>
        <v>94885.049999999988</v>
      </c>
      <c r="F47" s="150">
        <v>5524207.6109999996</v>
      </c>
      <c r="G47" s="149">
        <f t="shared" si="10"/>
        <v>94885.049999999988</v>
      </c>
      <c r="H47" s="150">
        <v>5524207.6109999996</v>
      </c>
      <c r="I47" s="149">
        <f t="shared" si="11"/>
        <v>94410.049999999988</v>
      </c>
      <c r="J47" s="106">
        <v>5496553.1109999996</v>
      </c>
      <c r="K47" s="18" t="s">
        <v>40</v>
      </c>
    </row>
    <row r="48" spans="1:11">
      <c r="A48" s="67" t="s">
        <v>43</v>
      </c>
      <c r="B48" s="70">
        <v>21.6</v>
      </c>
      <c r="C48" s="151">
        <f t="shared" si="8"/>
        <v>125517.79999999999</v>
      </c>
      <c r="D48" s="152">
        <v>2711184.48</v>
      </c>
      <c r="E48" s="151">
        <f t="shared" si="9"/>
        <v>125992.79999999999</v>
      </c>
      <c r="F48" s="152">
        <v>2721444.48</v>
      </c>
      <c r="G48" s="151">
        <f t="shared" si="10"/>
        <v>126467.79999999999</v>
      </c>
      <c r="H48" s="152">
        <v>2731704.48</v>
      </c>
      <c r="I48" s="151">
        <f t="shared" si="11"/>
        <v>125992.79999999999</v>
      </c>
      <c r="J48" s="152">
        <v>2721444.48</v>
      </c>
      <c r="K48" s="112" t="s">
        <v>30</v>
      </c>
    </row>
    <row r="49" spans="1:11">
      <c r="A49" s="62" t="s">
        <v>44</v>
      </c>
      <c r="B49" s="63">
        <v>37.549999999999997</v>
      </c>
      <c r="C49" s="151">
        <f t="shared" si="8"/>
        <v>102750.1</v>
      </c>
      <c r="D49" s="152">
        <v>3858266.2549999999</v>
      </c>
      <c r="E49" s="151">
        <f t="shared" si="9"/>
        <v>103225.1</v>
      </c>
      <c r="F49" s="152">
        <v>3876102.5049999999</v>
      </c>
      <c r="G49" s="151">
        <f t="shared" si="10"/>
        <v>103700.1</v>
      </c>
      <c r="H49" s="152">
        <v>3893938.7549999999</v>
      </c>
      <c r="I49" s="151">
        <f t="shared" si="11"/>
        <v>103225.1</v>
      </c>
      <c r="J49" s="152">
        <v>3876102.5049999999</v>
      </c>
      <c r="K49" s="112" t="s">
        <v>30</v>
      </c>
    </row>
    <row r="50" spans="1:11">
      <c r="A50" s="62" t="s">
        <v>45</v>
      </c>
      <c r="B50" s="63">
        <v>56.58</v>
      </c>
      <c r="C50" s="151">
        <f t="shared" si="8"/>
        <v>90030.55</v>
      </c>
      <c r="D50" s="152">
        <v>5093928.5190000003</v>
      </c>
      <c r="E50" s="151">
        <f t="shared" si="9"/>
        <v>90505.55</v>
      </c>
      <c r="F50" s="152">
        <v>5120804.0190000003</v>
      </c>
      <c r="G50" s="151">
        <f t="shared" si="10"/>
        <v>90980.55</v>
      </c>
      <c r="H50" s="152">
        <v>5147679.5190000003</v>
      </c>
      <c r="I50" s="151">
        <f t="shared" si="11"/>
        <v>90505.55</v>
      </c>
      <c r="J50" s="152">
        <v>5120804.0190000003</v>
      </c>
      <c r="K50" s="112" t="s">
        <v>30</v>
      </c>
    </row>
    <row r="51" spans="1:11">
      <c r="A51" s="68" t="s">
        <v>45</v>
      </c>
      <c r="B51" s="69">
        <v>58.22</v>
      </c>
      <c r="C51" s="149">
        <f t="shared" si="8"/>
        <v>89484.3</v>
      </c>
      <c r="D51" s="150">
        <v>5209775.9460000005</v>
      </c>
      <c r="E51" s="149">
        <f t="shared" si="9"/>
        <v>89959.3</v>
      </c>
      <c r="F51" s="150">
        <v>5237430.4460000005</v>
      </c>
      <c r="G51" s="149">
        <f t="shared" si="10"/>
        <v>90434.3</v>
      </c>
      <c r="H51" s="150">
        <v>5265084.9460000005</v>
      </c>
      <c r="I51" s="149">
        <f t="shared" si="11"/>
        <v>89959.3</v>
      </c>
      <c r="J51" s="106">
        <v>5237430.4460000005</v>
      </c>
      <c r="K51" s="113" t="s">
        <v>30</v>
      </c>
    </row>
    <row r="52" spans="1:11">
      <c r="A52" s="67" t="s">
        <v>46</v>
      </c>
      <c r="B52" s="70">
        <v>21.6</v>
      </c>
      <c r="C52" s="151">
        <f t="shared" si="8"/>
        <v>125517.79999999999</v>
      </c>
      <c r="D52" s="152">
        <v>2711184.48</v>
      </c>
      <c r="E52" s="151">
        <f t="shared" si="9"/>
        <v>125992.79999999999</v>
      </c>
      <c r="F52" s="152">
        <v>2721444.48</v>
      </c>
      <c r="G52" s="151">
        <f t="shared" si="10"/>
        <v>126467.79999999999</v>
      </c>
      <c r="H52" s="152">
        <v>2731704.48</v>
      </c>
      <c r="I52" s="151">
        <f t="shared" si="11"/>
        <v>125992.79999999999</v>
      </c>
      <c r="J52" s="152">
        <v>2721444.48</v>
      </c>
      <c r="K52" s="112" t="s">
        <v>30</v>
      </c>
    </row>
    <row r="53" spans="1:11">
      <c r="A53" s="62" t="s">
        <v>47</v>
      </c>
      <c r="B53" s="63">
        <v>37.549999999999997</v>
      </c>
      <c r="C53" s="151">
        <f t="shared" si="8"/>
        <v>107810.75000000001</v>
      </c>
      <c r="D53" s="152">
        <v>4048293.6625000001</v>
      </c>
      <c r="E53" s="151">
        <f t="shared" si="9"/>
        <v>108284.80000000002</v>
      </c>
      <c r="F53" s="152">
        <v>4066094.24</v>
      </c>
      <c r="G53" s="151">
        <f t="shared" si="10"/>
        <v>108759.80000000002</v>
      </c>
      <c r="H53" s="152">
        <v>4083930.49</v>
      </c>
      <c r="I53" s="151">
        <f t="shared" si="11"/>
        <v>108284.80000000002</v>
      </c>
      <c r="J53" s="152">
        <v>4066094.24</v>
      </c>
      <c r="K53" s="25" t="s">
        <v>48</v>
      </c>
    </row>
    <row r="54" spans="1:11">
      <c r="A54" s="62" t="s">
        <v>49</v>
      </c>
      <c r="B54" s="63">
        <v>56.58</v>
      </c>
      <c r="C54" s="151">
        <f t="shared" si="8"/>
        <v>92532.85</v>
      </c>
      <c r="D54" s="152">
        <v>5235508.6529999999</v>
      </c>
      <c r="E54" s="151">
        <f t="shared" si="9"/>
        <v>93007.85</v>
      </c>
      <c r="F54" s="152">
        <v>5262384.1529999999</v>
      </c>
      <c r="G54" s="151">
        <f t="shared" si="10"/>
        <v>93482.85</v>
      </c>
      <c r="H54" s="152">
        <v>5289259.6529999999</v>
      </c>
      <c r="I54" s="151">
        <f t="shared" si="11"/>
        <v>93007.85</v>
      </c>
      <c r="J54" s="152">
        <v>5262384.1529999999</v>
      </c>
      <c r="K54" s="25" t="s">
        <v>48</v>
      </c>
    </row>
    <row r="55" spans="1:11">
      <c r="A55" s="68" t="s">
        <v>49</v>
      </c>
      <c r="B55" s="69">
        <v>58.22</v>
      </c>
      <c r="C55" s="149">
        <f t="shared" si="8"/>
        <v>91892.55</v>
      </c>
      <c r="D55" s="150">
        <v>5349984.2609999999</v>
      </c>
      <c r="E55" s="149">
        <f t="shared" si="9"/>
        <v>92367.55</v>
      </c>
      <c r="F55" s="150">
        <v>5377638.7609999999</v>
      </c>
      <c r="G55" s="149">
        <f t="shared" si="10"/>
        <v>92842.55</v>
      </c>
      <c r="H55" s="150">
        <v>5405293.2609999999</v>
      </c>
      <c r="I55" s="149">
        <f t="shared" si="11"/>
        <v>92367.55</v>
      </c>
      <c r="J55" s="106">
        <v>5377638.7609999999</v>
      </c>
      <c r="K55" s="18" t="s">
        <v>48</v>
      </c>
    </row>
    <row r="56" spans="1:11">
      <c r="A56" s="67" t="s">
        <v>50</v>
      </c>
      <c r="B56" s="71">
        <v>21.6</v>
      </c>
      <c r="C56" s="153">
        <f t="shared" si="8"/>
        <v>134313.85</v>
      </c>
      <c r="D56" s="154">
        <v>2901179.16</v>
      </c>
      <c r="E56" s="153">
        <f t="shared" si="9"/>
        <v>134788.85</v>
      </c>
      <c r="F56" s="154">
        <v>2911439.16</v>
      </c>
      <c r="G56" s="145">
        <f t="shared" si="10"/>
        <v>135263.85</v>
      </c>
      <c r="H56" s="152">
        <v>2921699.16</v>
      </c>
      <c r="I56" s="153">
        <f t="shared" si="11"/>
        <v>134788.85</v>
      </c>
      <c r="J56" s="155">
        <v>2911439.16</v>
      </c>
      <c r="K56" s="82" t="s">
        <v>48</v>
      </c>
    </row>
    <row r="57" spans="1:11">
      <c r="A57" s="62" t="s">
        <v>51</v>
      </c>
      <c r="B57" s="72">
        <v>37.549999999999997</v>
      </c>
      <c r="C57" s="156">
        <f t="shared" si="8"/>
        <v>107810.75000000001</v>
      </c>
      <c r="D57" s="154">
        <v>4048293.6625000001</v>
      </c>
      <c r="E57" s="156">
        <f t="shared" si="9"/>
        <v>108285.75000000001</v>
      </c>
      <c r="F57" s="154">
        <v>4066129.9125000001</v>
      </c>
      <c r="G57" s="151">
        <f t="shared" si="10"/>
        <v>108759.80000000002</v>
      </c>
      <c r="H57" s="152">
        <v>4083930.49</v>
      </c>
      <c r="I57" s="156">
        <f t="shared" si="11"/>
        <v>108284.80000000002</v>
      </c>
      <c r="J57" s="107">
        <v>4066094.24</v>
      </c>
      <c r="K57" s="82" t="s">
        <v>48</v>
      </c>
    </row>
    <row r="58" spans="1:11">
      <c r="A58" s="62" t="s">
        <v>52</v>
      </c>
      <c r="B58" s="72">
        <v>56.58</v>
      </c>
      <c r="C58" s="156">
        <f t="shared" si="8"/>
        <v>92532.85</v>
      </c>
      <c r="D58" s="154">
        <v>5235508.6529999999</v>
      </c>
      <c r="E58" s="156">
        <f t="shared" si="9"/>
        <v>93007.85</v>
      </c>
      <c r="F58" s="154">
        <v>5262384.1529999999</v>
      </c>
      <c r="G58" s="151">
        <f t="shared" si="10"/>
        <v>93482.85</v>
      </c>
      <c r="H58" s="152">
        <v>5289259.6529999999</v>
      </c>
      <c r="I58" s="156">
        <f t="shared" si="11"/>
        <v>93007.85</v>
      </c>
      <c r="J58" s="107">
        <v>5262384.1529999999</v>
      </c>
      <c r="K58" s="82" t="s">
        <v>48</v>
      </c>
    </row>
    <row r="59" spans="1:11">
      <c r="A59" s="68" t="s">
        <v>52</v>
      </c>
      <c r="B59" s="73">
        <v>58.22</v>
      </c>
      <c r="C59" s="157">
        <f t="shared" si="8"/>
        <v>91892.55</v>
      </c>
      <c r="D59" s="158">
        <v>5349984.2609999999</v>
      </c>
      <c r="E59" s="157">
        <f t="shared" si="9"/>
        <v>92367.55</v>
      </c>
      <c r="F59" s="158">
        <v>5377638.7609999999</v>
      </c>
      <c r="G59" s="149">
        <f t="shared" si="10"/>
        <v>92842.55</v>
      </c>
      <c r="H59" s="150">
        <v>5405293.2609999999</v>
      </c>
      <c r="I59" s="157">
        <f t="shared" si="11"/>
        <v>92367.55</v>
      </c>
      <c r="J59" s="106">
        <v>5377638.7609999999</v>
      </c>
      <c r="K59" s="83" t="s">
        <v>48</v>
      </c>
    </row>
    <row r="60" spans="1:11">
      <c r="A60" s="62" t="s">
        <v>53</v>
      </c>
      <c r="B60" s="74">
        <v>35.67</v>
      </c>
      <c r="C60" s="153">
        <f t="shared" si="8"/>
        <v>99864.95</v>
      </c>
      <c r="D60" s="159">
        <v>3562182.7664999999</v>
      </c>
      <c r="E60" s="153">
        <f t="shared" si="9"/>
        <v>100339.95</v>
      </c>
      <c r="F60" s="159">
        <v>3579126.0164999999</v>
      </c>
      <c r="G60" s="145">
        <f t="shared" si="10"/>
        <v>100814.95</v>
      </c>
      <c r="H60" s="155">
        <v>3596069.2664999999</v>
      </c>
      <c r="I60" s="153">
        <f t="shared" si="11"/>
        <v>100339.95</v>
      </c>
      <c r="J60" s="155">
        <v>3579126.0164999999</v>
      </c>
      <c r="K60" s="139" t="s">
        <v>30</v>
      </c>
    </row>
    <row r="61" spans="1:11">
      <c r="A61" s="68" t="s">
        <v>53</v>
      </c>
      <c r="B61" s="75">
        <v>37.090000000000003</v>
      </c>
      <c r="C61" s="160">
        <f t="shared" si="8"/>
        <v>99067.89999999998</v>
      </c>
      <c r="D61" s="161">
        <v>3674428.4109999998</v>
      </c>
      <c r="E61" s="160">
        <f t="shared" si="9"/>
        <v>99542.89999999998</v>
      </c>
      <c r="F61" s="161">
        <v>3692046.1609999998</v>
      </c>
      <c r="G61" s="144">
        <f t="shared" si="10"/>
        <v>100017.89999999998</v>
      </c>
      <c r="H61" s="162">
        <v>3709663.9109999998</v>
      </c>
      <c r="I61" s="160">
        <f t="shared" si="11"/>
        <v>99542.89999999998</v>
      </c>
      <c r="J61" s="162">
        <v>3692046.1609999998</v>
      </c>
      <c r="K61" s="140" t="s">
        <v>30</v>
      </c>
    </row>
    <row r="63" spans="1:11" ht="19.5" thickBot="1">
      <c r="A63" s="164" t="s">
        <v>125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.75" thickBot="1">
      <c r="A64" s="59" t="s">
        <v>21</v>
      </c>
      <c r="B64" s="60" t="s">
        <v>22</v>
      </c>
      <c r="C64" s="61" t="s">
        <v>23</v>
      </c>
      <c r="D64" s="60" t="s">
        <v>24</v>
      </c>
      <c r="E64" s="61" t="s">
        <v>25</v>
      </c>
      <c r="F64" s="60" t="s">
        <v>24</v>
      </c>
      <c r="G64" s="61" t="s">
        <v>26</v>
      </c>
      <c r="H64" s="60" t="s">
        <v>24</v>
      </c>
      <c r="I64" s="61" t="s">
        <v>27</v>
      </c>
      <c r="J64" s="60" t="s">
        <v>24</v>
      </c>
      <c r="K64" s="76" t="s">
        <v>28</v>
      </c>
    </row>
    <row r="65" spans="1:11">
      <c r="A65" s="62" t="s">
        <v>29</v>
      </c>
      <c r="B65" s="63">
        <v>56.58</v>
      </c>
      <c r="C65" s="141">
        <f>D65/B65</f>
        <v>95711.5</v>
      </c>
      <c r="D65" s="142">
        <v>5415356.6699999999</v>
      </c>
      <c r="E65" s="141">
        <f>F65/B65</f>
        <v>96246.500000000015</v>
      </c>
      <c r="F65" s="142">
        <v>5445626.9700000007</v>
      </c>
      <c r="G65" s="141">
        <f>H65/B65</f>
        <v>96781.500000000015</v>
      </c>
      <c r="H65" s="142">
        <v>5475897.2700000005</v>
      </c>
      <c r="I65" s="141">
        <f>J65/B65</f>
        <v>96246.500000000015</v>
      </c>
      <c r="J65" s="142">
        <v>5445626.9700000007</v>
      </c>
      <c r="K65" s="15" t="s">
        <v>30</v>
      </c>
    </row>
    <row r="66" spans="1:11" ht="15.75" thickBot="1">
      <c r="A66" s="62" t="s">
        <v>29</v>
      </c>
      <c r="B66" s="64">
        <v>58.22</v>
      </c>
      <c r="C66" s="141">
        <f t="shared" ref="C66:C92" si="12">D66/B66</f>
        <v>95230.000000000015</v>
      </c>
      <c r="D66" s="143">
        <v>5544290.6000000006</v>
      </c>
      <c r="E66" s="144">
        <f t="shared" ref="E66:E92" si="13">F66/B66</f>
        <v>95765.000000000015</v>
      </c>
      <c r="F66" s="143">
        <v>5575438.3000000007</v>
      </c>
      <c r="G66" s="144">
        <f t="shared" ref="G66:G92" si="14">H66/B66</f>
        <v>96300</v>
      </c>
      <c r="H66" s="143">
        <v>5606586</v>
      </c>
      <c r="I66" s="144">
        <f t="shared" ref="I66:I92" si="15">J66/B66</f>
        <v>95765.000000000015</v>
      </c>
      <c r="J66" s="143">
        <v>5575438.3000000007</v>
      </c>
      <c r="K66" s="79" t="s">
        <v>30</v>
      </c>
    </row>
    <row r="67" spans="1:11">
      <c r="A67" s="65" t="s">
        <v>31</v>
      </c>
      <c r="B67" s="66">
        <v>21.6</v>
      </c>
      <c r="C67" s="145">
        <f t="shared" si="12"/>
        <v>139965.63</v>
      </c>
      <c r="D67" s="146">
        <v>3023257.6080000005</v>
      </c>
      <c r="E67" s="145">
        <f t="shared" si="13"/>
        <v>140500.63</v>
      </c>
      <c r="F67" s="146">
        <v>3034813.6080000005</v>
      </c>
      <c r="G67" s="145">
        <f t="shared" si="14"/>
        <v>141035.63</v>
      </c>
      <c r="H67" s="146">
        <v>3046369.6080000005</v>
      </c>
      <c r="I67" s="145">
        <f t="shared" si="15"/>
        <v>140500.63</v>
      </c>
      <c r="J67" s="146">
        <v>3034813.6080000005</v>
      </c>
      <c r="K67" s="80" t="s">
        <v>30</v>
      </c>
    </row>
    <row r="68" spans="1:11">
      <c r="A68" s="67" t="s">
        <v>32</v>
      </c>
      <c r="B68" s="63">
        <v>37.549999999999997</v>
      </c>
      <c r="C68" s="147">
        <f t="shared" si="12"/>
        <v>110029.17000000001</v>
      </c>
      <c r="D68" s="148">
        <v>4131595.3335000002</v>
      </c>
      <c r="E68" s="147">
        <f t="shared" si="13"/>
        <v>110564.17000000001</v>
      </c>
      <c r="F68" s="148">
        <v>4151684.5835000002</v>
      </c>
      <c r="G68" s="147">
        <f t="shared" si="14"/>
        <v>111099.17000000001</v>
      </c>
      <c r="H68" s="148">
        <v>4171773.8335000002</v>
      </c>
      <c r="I68" s="147">
        <f t="shared" si="15"/>
        <v>110564.17000000001</v>
      </c>
      <c r="J68" s="148">
        <v>4151684.5835000002</v>
      </c>
      <c r="K68" s="15" t="s">
        <v>30</v>
      </c>
    </row>
    <row r="69" spans="1:11">
      <c r="A69" s="62" t="s">
        <v>33</v>
      </c>
      <c r="B69" s="63">
        <v>56.58</v>
      </c>
      <c r="C69" s="141">
        <f t="shared" si="12"/>
        <v>95711.5</v>
      </c>
      <c r="D69" s="142">
        <v>5415356.6699999999</v>
      </c>
      <c r="E69" s="141">
        <f t="shared" si="13"/>
        <v>96246.500000000015</v>
      </c>
      <c r="F69" s="142">
        <v>5445626.9700000007</v>
      </c>
      <c r="G69" s="141">
        <f t="shared" si="14"/>
        <v>96781.500000000015</v>
      </c>
      <c r="H69" s="142">
        <v>5475897.2700000005</v>
      </c>
      <c r="I69" s="141">
        <f t="shared" si="15"/>
        <v>96246.500000000015</v>
      </c>
      <c r="J69" s="142">
        <v>5445626.9700000007</v>
      </c>
      <c r="K69" s="15" t="s">
        <v>30</v>
      </c>
    </row>
    <row r="70" spans="1:11" ht="15.75" thickBot="1">
      <c r="A70" s="68" t="s">
        <v>34</v>
      </c>
      <c r="B70" s="69">
        <v>58.22</v>
      </c>
      <c r="C70" s="149">
        <f t="shared" si="12"/>
        <v>95230.000000000015</v>
      </c>
      <c r="D70" s="150">
        <v>5544290.6000000006</v>
      </c>
      <c r="E70" s="149">
        <f t="shared" si="13"/>
        <v>95765.000000000015</v>
      </c>
      <c r="F70" s="150">
        <v>5575438.3000000007</v>
      </c>
      <c r="G70" s="149">
        <f t="shared" si="14"/>
        <v>96300</v>
      </c>
      <c r="H70" s="106">
        <v>5606586</v>
      </c>
      <c r="I70" s="144">
        <f t="shared" si="15"/>
        <v>95765.000000000015</v>
      </c>
      <c r="J70" s="143">
        <v>5575438.3000000007</v>
      </c>
      <c r="K70" s="79" t="s">
        <v>30</v>
      </c>
    </row>
    <row r="71" spans="1:11">
      <c r="A71" s="65" t="s">
        <v>35</v>
      </c>
      <c r="B71" s="66">
        <v>21.6</v>
      </c>
      <c r="C71" s="145">
        <f t="shared" si="12"/>
        <v>139965.63</v>
      </c>
      <c r="D71" s="146">
        <v>3023257.6080000005</v>
      </c>
      <c r="E71" s="145">
        <f t="shared" si="13"/>
        <v>140500.63</v>
      </c>
      <c r="F71" s="146">
        <v>3034813.6080000005</v>
      </c>
      <c r="G71" s="145">
        <f t="shared" si="14"/>
        <v>141035.63</v>
      </c>
      <c r="H71" s="146">
        <v>3046369.6080000005</v>
      </c>
      <c r="I71" s="145">
        <f t="shared" si="15"/>
        <v>140500.63</v>
      </c>
      <c r="J71" s="146">
        <v>3034813.6080000005</v>
      </c>
      <c r="K71" s="137" t="s">
        <v>30</v>
      </c>
    </row>
    <row r="72" spans="1:11">
      <c r="A72" s="67" t="s">
        <v>36</v>
      </c>
      <c r="B72" s="63">
        <v>37.549999999999997</v>
      </c>
      <c r="C72" s="147">
        <f t="shared" si="12"/>
        <v>110029.17000000001</v>
      </c>
      <c r="D72" s="148">
        <v>4131595.3335000002</v>
      </c>
      <c r="E72" s="147">
        <f t="shared" si="13"/>
        <v>110564.17000000001</v>
      </c>
      <c r="F72" s="148">
        <v>4151684.5835000002</v>
      </c>
      <c r="G72" s="147">
        <f t="shared" si="14"/>
        <v>111099.17000000001</v>
      </c>
      <c r="H72" s="148">
        <v>4171773.8335000002</v>
      </c>
      <c r="I72" s="147">
        <f t="shared" si="15"/>
        <v>110564.17000000001</v>
      </c>
      <c r="J72" s="148">
        <v>4151684.5835000002</v>
      </c>
      <c r="K72" s="111" t="s">
        <v>30</v>
      </c>
    </row>
    <row r="73" spans="1:11">
      <c r="A73" s="62" t="s">
        <v>37</v>
      </c>
      <c r="B73" s="63">
        <v>56.58</v>
      </c>
      <c r="C73" s="141">
        <f t="shared" si="12"/>
        <v>95711.5</v>
      </c>
      <c r="D73" s="142">
        <v>5415356.6699999999</v>
      </c>
      <c r="E73" s="141">
        <f t="shared" si="13"/>
        <v>96246.500000000015</v>
      </c>
      <c r="F73" s="142">
        <v>5445626.9700000007</v>
      </c>
      <c r="G73" s="141">
        <f t="shared" si="14"/>
        <v>96781.500000000015</v>
      </c>
      <c r="H73" s="142">
        <v>5475897.2700000005</v>
      </c>
      <c r="I73" s="141">
        <f t="shared" si="15"/>
        <v>96246.500000000015</v>
      </c>
      <c r="J73" s="142">
        <v>5445626.9700000007</v>
      </c>
      <c r="K73" s="111" t="s">
        <v>30</v>
      </c>
    </row>
    <row r="74" spans="1:11" ht="15.75" thickBot="1">
      <c r="A74" s="68" t="s">
        <v>38</v>
      </c>
      <c r="B74" s="69">
        <v>58.22</v>
      </c>
      <c r="C74" s="149">
        <f t="shared" si="12"/>
        <v>95230.000000000015</v>
      </c>
      <c r="D74" s="150">
        <v>5544290.6000000006</v>
      </c>
      <c r="E74" s="149">
        <f t="shared" si="13"/>
        <v>95765.000000000015</v>
      </c>
      <c r="F74" s="150">
        <v>5575438.3000000007</v>
      </c>
      <c r="G74" s="149">
        <f t="shared" si="14"/>
        <v>96300</v>
      </c>
      <c r="H74" s="106">
        <v>5606586</v>
      </c>
      <c r="I74" s="144">
        <f t="shared" si="15"/>
        <v>95765.000000000015</v>
      </c>
      <c r="J74" s="143">
        <v>5575438.3000000007</v>
      </c>
      <c r="K74" s="138" t="s">
        <v>30</v>
      </c>
    </row>
    <row r="75" spans="1:11">
      <c r="A75" s="67" t="s">
        <v>39</v>
      </c>
      <c r="B75" s="70">
        <v>21.6</v>
      </c>
      <c r="C75" s="151">
        <f t="shared" si="12"/>
        <v>153473.31</v>
      </c>
      <c r="D75" s="152">
        <v>3315023.4960000003</v>
      </c>
      <c r="E75" s="151">
        <f t="shared" si="13"/>
        <v>154008.31</v>
      </c>
      <c r="F75" s="152">
        <v>3326579.4960000003</v>
      </c>
      <c r="G75" s="151">
        <f t="shared" si="14"/>
        <v>154543.31</v>
      </c>
      <c r="H75" s="152">
        <v>3338135.4960000003</v>
      </c>
      <c r="I75" s="151">
        <f t="shared" si="15"/>
        <v>154008.31</v>
      </c>
      <c r="J75" s="152">
        <v>3326579.4960000003</v>
      </c>
      <c r="K75" s="112" t="s">
        <v>30</v>
      </c>
    </row>
    <row r="76" spans="1:11">
      <c r="A76" s="62" t="s">
        <v>41</v>
      </c>
      <c r="B76" s="63">
        <v>37.549999999999997</v>
      </c>
      <c r="C76" s="151">
        <f t="shared" si="12"/>
        <v>123408.45000000001</v>
      </c>
      <c r="D76" s="152">
        <v>4633987.2975000003</v>
      </c>
      <c r="E76" s="151">
        <f t="shared" si="13"/>
        <v>123943.45000000001</v>
      </c>
      <c r="F76" s="152">
        <v>4654076.5475000003</v>
      </c>
      <c r="G76" s="151">
        <f t="shared" si="14"/>
        <v>124478.45000000001</v>
      </c>
      <c r="H76" s="152">
        <v>4674165.7975000003</v>
      </c>
      <c r="I76" s="151">
        <f t="shared" si="15"/>
        <v>123943.45000000001</v>
      </c>
      <c r="J76" s="152">
        <v>4654076.5475000003</v>
      </c>
      <c r="K76" s="25" t="s">
        <v>40</v>
      </c>
    </row>
    <row r="77" spans="1:11">
      <c r="A77" s="62" t="s">
        <v>42</v>
      </c>
      <c r="B77" s="63">
        <v>56.58</v>
      </c>
      <c r="C77" s="151">
        <f t="shared" si="12"/>
        <v>106521.71</v>
      </c>
      <c r="D77" s="152">
        <v>6026998.3518000003</v>
      </c>
      <c r="E77" s="151">
        <f t="shared" si="13"/>
        <v>107056.71000000002</v>
      </c>
      <c r="F77" s="152">
        <v>6057268.651800001</v>
      </c>
      <c r="G77" s="151">
        <f t="shared" si="14"/>
        <v>107591.71000000002</v>
      </c>
      <c r="H77" s="152">
        <v>6087538.9518000009</v>
      </c>
      <c r="I77" s="151">
        <f t="shared" si="15"/>
        <v>107056.71000000002</v>
      </c>
      <c r="J77" s="152">
        <v>6057268.651800001</v>
      </c>
      <c r="K77" s="25" t="s">
        <v>40</v>
      </c>
    </row>
    <row r="78" spans="1:11" ht="15.75" thickBot="1">
      <c r="A78" s="68" t="s">
        <v>42</v>
      </c>
      <c r="B78" s="69">
        <v>58.22</v>
      </c>
      <c r="C78" s="149">
        <f t="shared" si="12"/>
        <v>105800.53000000001</v>
      </c>
      <c r="D78" s="150">
        <v>6159706.8566000005</v>
      </c>
      <c r="E78" s="149">
        <f t="shared" si="13"/>
        <v>106870.53</v>
      </c>
      <c r="F78" s="150">
        <v>6222002.2566</v>
      </c>
      <c r="G78" s="149">
        <f t="shared" si="14"/>
        <v>106870.53</v>
      </c>
      <c r="H78" s="150">
        <v>6222002.2566</v>
      </c>
      <c r="I78" s="149">
        <f t="shared" si="15"/>
        <v>106335.53</v>
      </c>
      <c r="J78" s="106">
        <v>6190854.5565999998</v>
      </c>
      <c r="K78" s="18" t="s">
        <v>40</v>
      </c>
    </row>
    <row r="79" spans="1:11">
      <c r="A79" s="67" t="s">
        <v>43</v>
      </c>
      <c r="B79" s="70">
        <v>21.6</v>
      </c>
      <c r="C79" s="151">
        <f t="shared" si="12"/>
        <v>141372.68000000002</v>
      </c>
      <c r="D79" s="152">
        <v>3053649.8880000007</v>
      </c>
      <c r="E79" s="151">
        <f t="shared" si="13"/>
        <v>141907.68000000002</v>
      </c>
      <c r="F79" s="152">
        <v>3065205.8880000007</v>
      </c>
      <c r="G79" s="151">
        <f t="shared" si="14"/>
        <v>142442.68000000002</v>
      </c>
      <c r="H79" s="152">
        <v>3076761.8880000007</v>
      </c>
      <c r="I79" s="151">
        <f t="shared" si="15"/>
        <v>141907.68000000002</v>
      </c>
      <c r="J79" s="152">
        <v>3065205.8880000007</v>
      </c>
      <c r="K79" s="112" t="s">
        <v>30</v>
      </c>
    </row>
    <row r="80" spans="1:11">
      <c r="A80" s="62" t="s">
        <v>44</v>
      </c>
      <c r="B80" s="63">
        <v>37.549999999999997</v>
      </c>
      <c r="C80" s="151">
        <f t="shared" si="12"/>
        <v>115729.06</v>
      </c>
      <c r="D80" s="152">
        <v>4345626.2029999997</v>
      </c>
      <c r="E80" s="151">
        <f t="shared" si="13"/>
        <v>116264.06</v>
      </c>
      <c r="F80" s="152">
        <v>4365715.4529999997</v>
      </c>
      <c r="G80" s="151">
        <f t="shared" si="14"/>
        <v>116799.06</v>
      </c>
      <c r="H80" s="152">
        <v>4385804.7029999997</v>
      </c>
      <c r="I80" s="151">
        <f t="shared" si="15"/>
        <v>116264.06</v>
      </c>
      <c r="J80" s="152">
        <v>4365715.4529999997</v>
      </c>
      <c r="K80" s="112" t="s">
        <v>30</v>
      </c>
    </row>
    <row r="81" spans="1:11">
      <c r="A81" s="62" t="s">
        <v>45</v>
      </c>
      <c r="B81" s="63">
        <v>56.58</v>
      </c>
      <c r="C81" s="151">
        <f t="shared" si="12"/>
        <v>101402.83</v>
      </c>
      <c r="D81" s="152">
        <v>5737372.1213999996</v>
      </c>
      <c r="E81" s="151">
        <f t="shared" si="13"/>
        <v>101937.82999999999</v>
      </c>
      <c r="F81" s="152">
        <v>5767642.4213999994</v>
      </c>
      <c r="G81" s="151">
        <f t="shared" si="14"/>
        <v>102472.83</v>
      </c>
      <c r="H81" s="152">
        <v>5797912.7214000002</v>
      </c>
      <c r="I81" s="151">
        <f t="shared" si="15"/>
        <v>101937.82999999999</v>
      </c>
      <c r="J81" s="152">
        <v>5767642.4213999994</v>
      </c>
      <c r="K81" s="112" t="s">
        <v>30</v>
      </c>
    </row>
    <row r="82" spans="1:11" ht="15.75" thickBot="1">
      <c r="A82" s="68" t="s">
        <v>45</v>
      </c>
      <c r="B82" s="69">
        <v>58.22</v>
      </c>
      <c r="C82" s="149">
        <f t="shared" si="12"/>
        <v>100787.58</v>
      </c>
      <c r="D82" s="150">
        <v>5867852.9075999996</v>
      </c>
      <c r="E82" s="149">
        <f t="shared" si="13"/>
        <v>101322.58</v>
      </c>
      <c r="F82" s="150">
        <v>5899000.6075999998</v>
      </c>
      <c r="G82" s="149">
        <f t="shared" si="14"/>
        <v>101857.58</v>
      </c>
      <c r="H82" s="150">
        <v>5930148.3075999999</v>
      </c>
      <c r="I82" s="149">
        <f t="shared" si="15"/>
        <v>101322.58</v>
      </c>
      <c r="J82" s="106">
        <v>5899000.6075999998</v>
      </c>
      <c r="K82" s="113" t="s">
        <v>30</v>
      </c>
    </row>
    <row r="83" spans="1:11">
      <c r="A83" s="67" t="s">
        <v>46</v>
      </c>
      <c r="B83" s="70">
        <v>21.6</v>
      </c>
      <c r="C83" s="151">
        <f t="shared" si="12"/>
        <v>141372.68000000002</v>
      </c>
      <c r="D83" s="152">
        <v>3053649.8880000007</v>
      </c>
      <c r="E83" s="151">
        <f t="shared" si="13"/>
        <v>141907.68000000002</v>
      </c>
      <c r="F83" s="152">
        <v>3065205.8880000007</v>
      </c>
      <c r="G83" s="151">
        <f t="shared" si="14"/>
        <v>142442.68000000002</v>
      </c>
      <c r="H83" s="152">
        <v>3076761.8880000007</v>
      </c>
      <c r="I83" s="151">
        <f t="shared" si="15"/>
        <v>141907.68000000002</v>
      </c>
      <c r="J83" s="152">
        <v>3065205.8880000007</v>
      </c>
      <c r="K83" s="112" t="s">
        <v>30</v>
      </c>
    </row>
    <row r="84" spans="1:11">
      <c r="A84" s="62" t="s">
        <v>47</v>
      </c>
      <c r="B84" s="63">
        <v>37.549999999999997</v>
      </c>
      <c r="C84" s="151">
        <f t="shared" si="12"/>
        <v>121428.95000000003</v>
      </c>
      <c r="D84" s="152">
        <v>4559657.0725000007</v>
      </c>
      <c r="E84" s="151">
        <f t="shared" si="13"/>
        <v>121962.87999999999</v>
      </c>
      <c r="F84" s="152">
        <v>4579706.1439999994</v>
      </c>
      <c r="G84" s="151">
        <f t="shared" si="14"/>
        <v>122497.87999999999</v>
      </c>
      <c r="H84" s="152">
        <v>4599795.3939999994</v>
      </c>
      <c r="I84" s="151">
        <f t="shared" si="15"/>
        <v>121962.87999999999</v>
      </c>
      <c r="J84" s="152">
        <v>4579706.1439999994</v>
      </c>
      <c r="K84" s="25" t="s">
        <v>48</v>
      </c>
    </row>
    <row r="85" spans="1:11">
      <c r="A85" s="62" t="s">
        <v>49</v>
      </c>
      <c r="B85" s="63">
        <v>56.58</v>
      </c>
      <c r="C85" s="151">
        <f t="shared" si="12"/>
        <v>104221.21</v>
      </c>
      <c r="D85" s="152">
        <v>5896836.0618000003</v>
      </c>
      <c r="E85" s="151">
        <f t="shared" si="13"/>
        <v>104756.21000000002</v>
      </c>
      <c r="F85" s="152">
        <v>5927106.361800001</v>
      </c>
      <c r="G85" s="151">
        <f t="shared" si="14"/>
        <v>105291.21000000002</v>
      </c>
      <c r="H85" s="152">
        <v>5957376.6618000008</v>
      </c>
      <c r="I85" s="151">
        <f t="shared" si="15"/>
        <v>104756.21000000002</v>
      </c>
      <c r="J85" s="152">
        <v>5927106.361800001</v>
      </c>
      <c r="K85" s="25" t="s">
        <v>48</v>
      </c>
    </row>
    <row r="86" spans="1:11" ht="15.75" thickBot="1">
      <c r="A86" s="68" t="s">
        <v>49</v>
      </c>
      <c r="B86" s="69">
        <v>58.22</v>
      </c>
      <c r="C86" s="149">
        <f t="shared" si="12"/>
        <v>103500.03</v>
      </c>
      <c r="D86" s="150">
        <v>6025771.7466000002</v>
      </c>
      <c r="E86" s="149">
        <f t="shared" si="13"/>
        <v>104035.03000000001</v>
      </c>
      <c r="F86" s="150">
        <v>6056919.4466000004</v>
      </c>
      <c r="G86" s="149">
        <f t="shared" si="14"/>
        <v>104570.03000000001</v>
      </c>
      <c r="H86" s="150">
        <v>6088067.1466000006</v>
      </c>
      <c r="I86" s="149">
        <f t="shared" si="15"/>
        <v>104035.03000000001</v>
      </c>
      <c r="J86" s="106">
        <v>6056919.4466000004</v>
      </c>
      <c r="K86" s="18" t="s">
        <v>48</v>
      </c>
    </row>
    <row r="87" spans="1:11">
      <c r="A87" s="67" t="s">
        <v>50</v>
      </c>
      <c r="B87" s="71">
        <v>21.6</v>
      </c>
      <c r="C87" s="153">
        <f t="shared" si="12"/>
        <v>151279.81000000003</v>
      </c>
      <c r="D87" s="154">
        <v>3267643.8960000006</v>
      </c>
      <c r="E87" s="153">
        <f t="shared" si="13"/>
        <v>151814.81000000003</v>
      </c>
      <c r="F87" s="154">
        <v>3279199.8960000006</v>
      </c>
      <c r="G87" s="145">
        <f t="shared" si="14"/>
        <v>152349.81000000003</v>
      </c>
      <c r="H87" s="152">
        <v>3290755.8960000006</v>
      </c>
      <c r="I87" s="153">
        <f t="shared" si="15"/>
        <v>151814.81000000003</v>
      </c>
      <c r="J87" s="155">
        <v>3279199.8960000006</v>
      </c>
      <c r="K87" s="82" t="s">
        <v>48</v>
      </c>
    </row>
    <row r="88" spans="1:11">
      <c r="A88" s="62" t="s">
        <v>51</v>
      </c>
      <c r="B88" s="72">
        <v>37.549999999999997</v>
      </c>
      <c r="C88" s="156">
        <f t="shared" si="12"/>
        <v>121428.95000000003</v>
      </c>
      <c r="D88" s="154">
        <v>4559657.0725000007</v>
      </c>
      <c r="E88" s="156">
        <f t="shared" si="13"/>
        <v>121963.95000000003</v>
      </c>
      <c r="F88" s="154">
        <v>4579746.3225000007</v>
      </c>
      <c r="G88" s="151">
        <f t="shared" si="14"/>
        <v>122497.87999999999</v>
      </c>
      <c r="H88" s="152">
        <v>4599795.3939999994</v>
      </c>
      <c r="I88" s="156">
        <f t="shared" si="15"/>
        <v>121962.87999999999</v>
      </c>
      <c r="J88" s="107">
        <v>4579706.1439999994</v>
      </c>
      <c r="K88" s="82" t="s">
        <v>48</v>
      </c>
    </row>
    <row r="89" spans="1:11">
      <c r="A89" s="62" t="s">
        <v>52</v>
      </c>
      <c r="B89" s="72">
        <v>56.58</v>
      </c>
      <c r="C89" s="156">
        <f t="shared" si="12"/>
        <v>104221.21</v>
      </c>
      <c r="D89" s="154">
        <v>5896836.0618000003</v>
      </c>
      <c r="E89" s="156">
        <f t="shared" si="13"/>
        <v>104756.21000000002</v>
      </c>
      <c r="F89" s="154">
        <v>5927106.361800001</v>
      </c>
      <c r="G89" s="151">
        <f t="shared" si="14"/>
        <v>105291.21000000002</v>
      </c>
      <c r="H89" s="152">
        <v>5957376.6618000008</v>
      </c>
      <c r="I89" s="156">
        <f t="shared" si="15"/>
        <v>104756.21000000002</v>
      </c>
      <c r="J89" s="107">
        <v>5927106.361800001</v>
      </c>
      <c r="K89" s="82" t="s">
        <v>48</v>
      </c>
    </row>
    <row r="90" spans="1:11" ht="15.75" thickBot="1">
      <c r="A90" s="68" t="s">
        <v>52</v>
      </c>
      <c r="B90" s="73">
        <v>58.22</v>
      </c>
      <c r="C90" s="157">
        <f t="shared" si="12"/>
        <v>103500.03</v>
      </c>
      <c r="D90" s="158">
        <v>6025771.7466000002</v>
      </c>
      <c r="E90" s="157">
        <f t="shared" si="13"/>
        <v>104035.03000000001</v>
      </c>
      <c r="F90" s="158">
        <v>6056919.4466000004</v>
      </c>
      <c r="G90" s="149">
        <f t="shared" si="14"/>
        <v>104570.03000000001</v>
      </c>
      <c r="H90" s="150">
        <v>6088067.1466000006</v>
      </c>
      <c r="I90" s="157">
        <f t="shared" si="15"/>
        <v>104035.03000000001</v>
      </c>
      <c r="J90" s="106">
        <v>6056919.4466000004</v>
      </c>
      <c r="K90" s="83" t="s">
        <v>48</v>
      </c>
    </row>
    <row r="91" spans="1:11">
      <c r="A91" s="62" t="s">
        <v>53</v>
      </c>
      <c r="B91" s="74">
        <v>35.67</v>
      </c>
      <c r="C91" s="153">
        <f t="shared" si="12"/>
        <v>112479.47</v>
      </c>
      <c r="D91" s="159">
        <v>4012142.6949000005</v>
      </c>
      <c r="E91" s="153">
        <f t="shared" si="13"/>
        <v>113014.47000000002</v>
      </c>
      <c r="F91" s="159">
        <v>4031226.1449000007</v>
      </c>
      <c r="G91" s="145">
        <f t="shared" si="14"/>
        <v>113549.47</v>
      </c>
      <c r="H91" s="155">
        <v>4050309.5949000004</v>
      </c>
      <c r="I91" s="153">
        <f t="shared" si="15"/>
        <v>113014.47000000002</v>
      </c>
      <c r="J91" s="155">
        <v>4031226.1449000007</v>
      </c>
      <c r="K91" s="139" t="s">
        <v>30</v>
      </c>
    </row>
    <row r="92" spans="1:11" ht="15.75" thickBot="1">
      <c r="A92" s="68" t="s">
        <v>53</v>
      </c>
      <c r="B92" s="75">
        <v>37.090000000000003</v>
      </c>
      <c r="C92" s="160">
        <f t="shared" si="12"/>
        <v>111581.74</v>
      </c>
      <c r="D92" s="161">
        <v>4138566.7366000004</v>
      </c>
      <c r="E92" s="160">
        <f t="shared" si="13"/>
        <v>112116.74</v>
      </c>
      <c r="F92" s="161">
        <v>4158409.8866000008</v>
      </c>
      <c r="G92" s="144">
        <f t="shared" si="14"/>
        <v>112651.74</v>
      </c>
      <c r="H92" s="162">
        <v>4178253.0366000007</v>
      </c>
      <c r="I92" s="160">
        <f t="shared" si="15"/>
        <v>112116.74</v>
      </c>
      <c r="J92" s="162">
        <v>4158409.8866000008</v>
      </c>
      <c r="K92" s="140" t="s">
        <v>30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9"/>
  <sheetViews>
    <sheetView tabSelected="1" zoomScale="90" zoomScaleNormal="90" workbookViewId="0">
      <selection activeCell="A42" sqref="A42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</cols>
  <sheetData>
    <row r="1" spans="1:12" s="1" customFormat="1" ht="19.5" thickBot="1">
      <c r="A1" s="164" t="s">
        <v>126</v>
      </c>
      <c r="E1" s="4"/>
      <c r="F1" s="4"/>
      <c r="G1" s="4"/>
      <c r="H1" s="4"/>
      <c r="I1" s="4"/>
      <c r="J1" s="4"/>
      <c r="K1" s="4"/>
    </row>
    <row r="2" spans="1:12" ht="46.5" customHeight="1" thickBot="1">
      <c r="A2" s="35" t="s">
        <v>21</v>
      </c>
      <c r="B2" s="36" t="s">
        <v>54</v>
      </c>
      <c r="C2" s="36" t="s">
        <v>23</v>
      </c>
      <c r="D2" s="36" t="s">
        <v>24</v>
      </c>
      <c r="E2" s="36" t="s">
        <v>25</v>
      </c>
      <c r="F2" s="36" t="s">
        <v>24</v>
      </c>
      <c r="G2" s="36" t="s">
        <v>55</v>
      </c>
      <c r="H2" s="36" t="s">
        <v>24</v>
      </c>
      <c r="I2" s="36" t="s">
        <v>56</v>
      </c>
      <c r="J2" s="36" t="s">
        <v>24</v>
      </c>
      <c r="K2" s="50" t="s">
        <v>3</v>
      </c>
    </row>
    <row r="3" spans="1:12" ht="15.75" thickBot="1">
      <c r="A3" s="37" t="s">
        <v>57</v>
      </c>
      <c r="B3" s="38">
        <v>55.5</v>
      </c>
      <c r="C3" s="216"/>
      <c r="D3" s="216"/>
      <c r="E3" s="216"/>
      <c r="F3" s="217"/>
      <c r="G3" s="218">
        <f>H3/B3</f>
        <v>107533.06981981982</v>
      </c>
      <c r="H3" s="219">
        <v>5968085.375</v>
      </c>
      <c r="I3" s="220">
        <f>J3/B3</f>
        <v>108100.56981981982</v>
      </c>
      <c r="J3" s="219">
        <v>5999581.625</v>
      </c>
      <c r="K3" s="190" t="s">
        <v>3</v>
      </c>
      <c r="L3" s="57"/>
    </row>
    <row r="4" spans="1:12">
      <c r="A4" s="39" t="s">
        <v>59</v>
      </c>
      <c r="B4" s="40">
        <v>21.3</v>
      </c>
      <c r="C4" s="146"/>
      <c r="D4" s="155"/>
      <c r="E4" s="221">
        <f>F4/B4</f>
        <v>160671.73500000002</v>
      </c>
      <c r="F4" s="155">
        <v>3422307.9555000002</v>
      </c>
      <c r="G4" s="222">
        <f t="shared" ref="G4:G19" si="0">H4/B4</f>
        <v>158007.88999999998</v>
      </c>
      <c r="H4" s="155">
        <v>3365568.057</v>
      </c>
      <c r="I4" s="155"/>
      <c r="J4" s="155"/>
      <c r="K4" s="191" t="s">
        <v>3</v>
      </c>
    </row>
    <row r="5" spans="1:12">
      <c r="A5" s="39" t="s">
        <v>61</v>
      </c>
      <c r="B5" s="41">
        <v>37</v>
      </c>
      <c r="C5" s="223">
        <f>D5/B5</f>
        <v>123765.61486486487</v>
      </c>
      <c r="D5" s="105">
        <v>4579327.75</v>
      </c>
      <c r="E5" s="224">
        <f t="shared" ref="E5:E19" si="1">F5/B5</f>
        <v>124333.11486486487</v>
      </c>
      <c r="F5" s="105">
        <v>4600325.25</v>
      </c>
      <c r="G5" s="225">
        <f t="shared" si="0"/>
        <v>124900.61486486487</v>
      </c>
      <c r="H5" s="107">
        <v>4621322.75</v>
      </c>
      <c r="I5" s="107"/>
      <c r="J5" s="107"/>
      <c r="K5" s="191" t="s">
        <v>3</v>
      </c>
      <c r="L5" s="57"/>
    </row>
    <row r="6" spans="1:12">
      <c r="A6" s="39" t="s">
        <v>62</v>
      </c>
      <c r="B6" s="41">
        <v>55</v>
      </c>
      <c r="C6" s="223">
        <f t="shared" ref="C6:C19" si="2">D6/B6</f>
        <v>109419.05590909091</v>
      </c>
      <c r="D6" s="105">
        <v>6018048.0750000002</v>
      </c>
      <c r="E6" s="224">
        <f t="shared" si="1"/>
        <v>109986.55590909091</v>
      </c>
      <c r="F6" s="105">
        <v>6049260.5750000002</v>
      </c>
      <c r="G6" s="225">
        <f t="shared" si="0"/>
        <v>109522.34090909091</v>
      </c>
      <c r="H6" s="107">
        <v>6023728.75</v>
      </c>
      <c r="I6" s="107"/>
      <c r="J6" s="107"/>
      <c r="K6" s="191" t="s">
        <v>3</v>
      </c>
      <c r="L6" s="57"/>
    </row>
    <row r="7" spans="1:12" ht="15.75" thickBot="1">
      <c r="A7" s="42" t="s">
        <v>63</v>
      </c>
      <c r="B7" s="43">
        <v>64.8</v>
      </c>
      <c r="C7" s="226">
        <f t="shared" si="2"/>
        <v>98736.340370370366</v>
      </c>
      <c r="D7" s="150">
        <v>6398114.8559999997</v>
      </c>
      <c r="E7" s="227">
        <f t="shared" si="1"/>
        <v>99303.840370370366</v>
      </c>
      <c r="F7" s="106">
        <v>6434888.8559999997</v>
      </c>
      <c r="G7" s="227">
        <f t="shared" si="0"/>
        <v>98995.120370370365</v>
      </c>
      <c r="H7" s="106">
        <v>6414883.7999999998</v>
      </c>
      <c r="I7" s="150"/>
      <c r="J7" s="106"/>
      <c r="K7" s="192" t="s">
        <v>3</v>
      </c>
      <c r="L7" s="57"/>
    </row>
    <row r="8" spans="1:12">
      <c r="A8" s="39" t="s">
        <v>65</v>
      </c>
      <c r="B8" s="45">
        <v>34</v>
      </c>
      <c r="C8" s="223">
        <f t="shared" si="2"/>
        <v>125494.2794117647</v>
      </c>
      <c r="D8" s="107">
        <v>4266805.5</v>
      </c>
      <c r="E8" s="221">
        <f t="shared" si="1"/>
        <v>126061.7794117647</v>
      </c>
      <c r="F8" s="155">
        <v>4286100.5</v>
      </c>
      <c r="G8" s="222">
        <f t="shared" si="0"/>
        <v>126629.2794117647</v>
      </c>
      <c r="H8" s="107">
        <v>4305395.5</v>
      </c>
      <c r="I8" s="107"/>
      <c r="J8" s="107"/>
      <c r="K8" s="193" t="s">
        <v>3</v>
      </c>
      <c r="L8" s="57"/>
    </row>
    <row r="9" spans="1:12">
      <c r="A9" s="39" t="s">
        <v>65</v>
      </c>
      <c r="B9" s="45">
        <v>37</v>
      </c>
      <c r="C9" s="223">
        <f t="shared" si="2"/>
        <v>123765.61486486487</v>
      </c>
      <c r="D9" s="105">
        <v>4579327.75</v>
      </c>
      <c r="E9" s="224">
        <f t="shared" si="1"/>
        <v>124333.11486486487</v>
      </c>
      <c r="F9" s="105">
        <v>4600325.25</v>
      </c>
      <c r="G9" s="225">
        <f t="shared" si="0"/>
        <v>124900.61486486487</v>
      </c>
      <c r="H9" s="105">
        <v>4621322.75</v>
      </c>
      <c r="I9" s="105"/>
      <c r="J9" s="105"/>
      <c r="K9" s="193" t="s">
        <v>3</v>
      </c>
      <c r="L9" s="57"/>
    </row>
    <row r="10" spans="1:12">
      <c r="A10" s="39" t="s">
        <v>66</v>
      </c>
      <c r="B10" s="45">
        <v>51.1</v>
      </c>
      <c r="C10" s="223">
        <f t="shared" si="2"/>
        <v>111319.84491193738</v>
      </c>
      <c r="D10" s="105">
        <v>5688444.0750000002</v>
      </c>
      <c r="E10" s="224">
        <f t="shared" si="1"/>
        <v>111887.34491193738</v>
      </c>
      <c r="F10" s="105">
        <v>5717443.3250000002</v>
      </c>
      <c r="G10" s="225">
        <f t="shared" si="0"/>
        <v>112454.84491193738</v>
      </c>
      <c r="H10" s="105">
        <v>5746442.5750000002</v>
      </c>
      <c r="I10" s="105"/>
      <c r="J10" s="105"/>
      <c r="K10" s="193" t="s">
        <v>3</v>
      </c>
      <c r="L10" s="57"/>
    </row>
    <row r="11" spans="1:12">
      <c r="A11" s="39" t="s">
        <v>65</v>
      </c>
      <c r="B11" s="45">
        <v>55</v>
      </c>
      <c r="C11" s="223">
        <f t="shared" si="2"/>
        <v>108387.34090909091</v>
      </c>
      <c r="D11" s="105">
        <v>5961303.75</v>
      </c>
      <c r="E11" s="224">
        <f t="shared" si="1"/>
        <v>108954.84090909091</v>
      </c>
      <c r="F11" s="105">
        <v>5992516.25</v>
      </c>
      <c r="G11" s="225">
        <f t="shared" si="0"/>
        <v>109522.34090909091</v>
      </c>
      <c r="H11" s="105">
        <v>6023728.75</v>
      </c>
      <c r="I11" s="105"/>
      <c r="J11" s="105"/>
      <c r="K11" s="193" t="s">
        <v>3</v>
      </c>
      <c r="L11" s="57"/>
    </row>
    <row r="12" spans="1:12" ht="15.75" thickBot="1">
      <c r="A12" s="46" t="s">
        <v>66</v>
      </c>
      <c r="B12" s="47">
        <v>56.5</v>
      </c>
      <c r="C12" s="226">
        <f t="shared" si="2"/>
        <v>108551.70132743364</v>
      </c>
      <c r="D12" s="150">
        <v>6133171.125</v>
      </c>
      <c r="E12" s="227">
        <f t="shared" si="1"/>
        <v>109119.20132743364</v>
      </c>
      <c r="F12" s="106">
        <v>6165234.875</v>
      </c>
      <c r="G12" s="226">
        <f t="shared" si="0"/>
        <v>109686.70132743364</v>
      </c>
      <c r="H12" s="106">
        <v>6197298.625</v>
      </c>
      <c r="I12" s="106"/>
      <c r="J12" s="106"/>
      <c r="K12" s="18" t="s">
        <v>3</v>
      </c>
      <c r="L12" s="57"/>
    </row>
    <row r="13" spans="1:12">
      <c r="A13" s="44" t="s">
        <v>67</v>
      </c>
      <c r="B13" s="40">
        <v>21.3</v>
      </c>
      <c r="C13" s="222">
        <f t="shared" si="2"/>
        <v>156872.88999999998</v>
      </c>
      <c r="D13" s="222">
        <v>3341392.557</v>
      </c>
      <c r="E13" s="221">
        <f t="shared" si="1"/>
        <v>157440.38999999998</v>
      </c>
      <c r="F13" s="155">
        <v>3353480.307</v>
      </c>
      <c r="G13" s="222">
        <f t="shared" si="0"/>
        <v>158007.88999999998</v>
      </c>
      <c r="H13" s="155">
        <v>3365568.057</v>
      </c>
      <c r="I13" s="155"/>
      <c r="J13" s="155"/>
      <c r="K13" s="195" t="s">
        <v>3</v>
      </c>
    </row>
    <row r="14" spans="1:12">
      <c r="A14" s="39" t="s">
        <v>68</v>
      </c>
      <c r="B14" s="45">
        <v>24.3</v>
      </c>
      <c r="C14" s="223"/>
      <c r="D14" s="107"/>
      <c r="E14" s="224">
        <f t="shared" si="1"/>
        <v>154234.10579999999</v>
      </c>
      <c r="F14" s="105">
        <v>3747888.7709399997</v>
      </c>
      <c r="G14" s="225">
        <f t="shared" si="0"/>
        <v>154801.60579999999</v>
      </c>
      <c r="H14" s="105">
        <v>3761679.0209399997</v>
      </c>
      <c r="I14" s="105"/>
      <c r="J14" s="105"/>
      <c r="K14" s="193" t="s">
        <v>3</v>
      </c>
    </row>
    <row r="15" spans="1:12">
      <c r="A15" s="39" t="s">
        <v>69</v>
      </c>
      <c r="B15" s="45">
        <v>37</v>
      </c>
      <c r="C15" s="223">
        <f t="shared" si="2"/>
        <v>123765.61486486487</v>
      </c>
      <c r="D15" s="228">
        <v>4579327.75</v>
      </c>
      <c r="E15" s="224">
        <f t="shared" si="1"/>
        <v>124333.11486486487</v>
      </c>
      <c r="F15" s="105">
        <v>4600325.25</v>
      </c>
      <c r="G15" s="225">
        <f t="shared" si="0"/>
        <v>124900.61486486487</v>
      </c>
      <c r="H15" s="105">
        <v>4621322.75</v>
      </c>
      <c r="I15" s="105"/>
      <c r="J15" s="105"/>
      <c r="K15" s="193" t="s">
        <v>3</v>
      </c>
      <c r="L15" s="57"/>
    </row>
    <row r="16" spans="1:12">
      <c r="A16" s="39" t="s">
        <v>68</v>
      </c>
      <c r="B16" s="45">
        <v>37.700000000000003</v>
      </c>
      <c r="C16" s="223">
        <f t="shared" si="2"/>
        <v>123879.5298408488</v>
      </c>
      <c r="D16" s="228">
        <v>4670258.2750000004</v>
      </c>
      <c r="E16" s="224">
        <f t="shared" si="1"/>
        <v>124447.0298408488</v>
      </c>
      <c r="F16" s="105">
        <v>4691653.0250000004</v>
      </c>
      <c r="G16" s="225">
        <f t="shared" si="0"/>
        <v>125014.5298408488</v>
      </c>
      <c r="H16" s="105">
        <v>4713047.7750000004</v>
      </c>
      <c r="I16" s="105"/>
      <c r="J16" s="105"/>
      <c r="K16" s="193" t="s">
        <v>3</v>
      </c>
      <c r="L16" s="57"/>
    </row>
    <row r="17" spans="1:12" ht="15.75" thickBot="1">
      <c r="A17" s="48" t="s">
        <v>69</v>
      </c>
      <c r="B17" s="49">
        <v>55</v>
      </c>
      <c r="C17" s="226">
        <f t="shared" si="2"/>
        <v>108387.34090909091</v>
      </c>
      <c r="D17" s="229">
        <v>5961303.75</v>
      </c>
      <c r="E17" s="227">
        <f t="shared" si="1"/>
        <v>108954.84090909091</v>
      </c>
      <c r="F17" s="106">
        <v>5992516.25</v>
      </c>
      <c r="G17" s="230">
        <f t="shared" si="0"/>
        <v>109522.34090909091</v>
      </c>
      <c r="H17" s="231">
        <v>6023728.75</v>
      </c>
      <c r="I17" s="231"/>
      <c r="J17" s="231"/>
      <c r="K17" s="196" t="s">
        <v>3</v>
      </c>
      <c r="L17" s="57"/>
    </row>
    <row r="18" spans="1:12" ht="15.75" thickBot="1">
      <c r="A18" s="37" t="s">
        <v>70</v>
      </c>
      <c r="B18" s="38">
        <v>64.5</v>
      </c>
      <c r="C18" s="220">
        <f t="shared" si="2"/>
        <v>98711.900232558139</v>
      </c>
      <c r="D18" s="219">
        <v>6366917.5650000004</v>
      </c>
      <c r="E18" s="220">
        <f t="shared" si="1"/>
        <v>99279.400232558139</v>
      </c>
      <c r="F18" s="162">
        <v>6403521.3150000004</v>
      </c>
      <c r="G18" s="218"/>
      <c r="H18" s="219"/>
      <c r="I18" s="219"/>
      <c r="J18" s="219"/>
      <c r="K18" s="190" t="s">
        <v>3</v>
      </c>
      <c r="L18" s="57"/>
    </row>
    <row r="19" spans="1:12" ht="15.75" thickBot="1">
      <c r="A19" s="37" t="s">
        <v>71</v>
      </c>
      <c r="B19" s="38">
        <v>64.5</v>
      </c>
      <c r="C19" s="220">
        <f t="shared" si="2"/>
        <v>100981.90023255814</v>
      </c>
      <c r="D19" s="219">
        <v>6513332.5650000004</v>
      </c>
      <c r="E19" s="220">
        <f t="shared" si="1"/>
        <v>101549.40023255814</v>
      </c>
      <c r="F19" s="219">
        <v>6549936.3150000004</v>
      </c>
      <c r="G19" s="218">
        <f t="shared" si="0"/>
        <v>102116.90023255814</v>
      </c>
      <c r="H19" s="219">
        <v>6586540.0650000004</v>
      </c>
      <c r="I19" s="219"/>
      <c r="J19" s="219"/>
      <c r="K19" s="190" t="s">
        <v>3</v>
      </c>
      <c r="L19" s="57"/>
    </row>
    <row r="21" spans="1:12" ht="19.5" thickBot="1">
      <c r="A21" s="164" t="s">
        <v>127</v>
      </c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2" ht="45.75" thickBot="1">
      <c r="A22" s="35" t="s">
        <v>21</v>
      </c>
      <c r="B22" s="36" t="s">
        <v>54</v>
      </c>
      <c r="C22" s="36" t="s">
        <v>23</v>
      </c>
      <c r="D22" s="36" t="s">
        <v>24</v>
      </c>
      <c r="E22" s="36" t="s">
        <v>25</v>
      </c>
      <c r="F22" s="36" t="s">
        <v>24</v>
      </c>
      <c r="G22" s="36" t="s">
        <v>55</v>
      </c>
      <c r="H22" s="36" t="s">
        <v>24</v>
      </c>
      <c r="I22" s="36" t="s">
        <v>56</v>
      </c>
      <c r="J22" s="36" t="s">
        <v>24</v>
      </c>
      <c r="K22" s="50" t="s">
        <v>3</v>
      </c>
    </row>
    <row r="23" spans="1:12" ht="15.75" thickBot="1">
      <c r="A23" s="37" t="s">
        <v>57</v>
      </c>
      <c r="B23" s="38">
        <v>55.5</v>
      </c>
      <c r="C23" s="216"/>
      <c r="D23" s="216"/>
      <c r="E23" s="216"/>
      <c r="F23" s="217"/>
      <c r="G23" s="218">
        <f>H23/B23</f>
        <v>105638.21396396396</v>
      </c>
      <c r="H23" s="219">
        <v>5862920.875</v>
      </c>
      <c r="I23" s="220">
        <f>J23/B23</f>
        <v>106195.71396396396</v>
      </c>
      <c r="J23" s="219">
        <v>5893862.125</v>
      </c>
      <c r="K23" s="190" t="s">
        <v>3</v>
      </c>
    </row>
    <row r="24" spans="1:12">
      <c r="A24" s="39" t="s">
        <v>59</v>
      </c>
      <c r="B24" s="40">
        <v>21.3</v>
      </c>
      <c r="C24" s="146"/>
      <c r="D24" s="155"/>
      <c r="E24" s="221">
        <f>F24/B24</f>
        <v>157840.51500000001</v>
      </c>
      <c r="F24" s="155">
        <v>3362002.9695000001</v>
      </c>
      <c r="G24" s="222">
        <f t="shared" ref="G24:G37" si="3">H24/B24</f>
        <v>155223.61000000002</v>
      </c>
      <c r="H24" s="155">
        <v>3306262.8930000002</v>
      </c>
      <c r="I24" s="155"/>
      <c r="J24" s="155"/>
      <c r="K24" s="191" t="s">
        <v>3</v>
      </c>
    </row>
    <row r="25" spans="1:12">
      <c r="A25" s="39" t="s">
        <v>61</v>
      </c>
      <c r="B25" s="41">
        <v>37</v>
      </c>
      <c r="C25" s="223">
        <f>D25/B25</f>
        <v>121584.72297297297</v>
      </c>
      <c r="D25" s="105">
        <v>4498634.75</v>
      </c>
      <c r="E25" s="224">
        <f t="shared" ref="E25:E39" si="4">F25/B25</f>
        <v>122142.22297297297</v>
      </c>
      <c r="F25" s="105">
        <v>4519262.25</v>
      </c>
      <c r="G25" s="225">
        <f t="shared" si="3"/>
        <v>122699.72297297297</v>
      </c>
      <c r="H25" s="107">
        <v>4539889.75</v>
      </c>
      <c r="I25" s="107"/>
      <c r="J25" s="107"/>
      <c r="K25" s="191" t="s">
        <v>3</v>
      </c>
    </row>
    <row r="26" spans="1:12">
      <c r="A26" s="39" t="s">
        <v>62</v>
      </c>
      <c r="B26" s="41">
        <v>55</v>
      </c>
      <c r="C26" s="223">
        <f t="shared" ref="C26:C33" si="5">D26/B26</f>
        <v>107490.96681818181</v>
      </c>
      <c r="D26" s="105">
        <v>5912003.1749999998</v>
      </c>
      <c r="E26" s="224">
        <f t="shared" si="4"/>
        <v>108048.46681818181</v>
      </c>
      <c r="F26" s="105">
        <v>5942665.6749999998</v>
      </c>
      <c r="G26" s="225">
        <f t="shared" si="3"/>
        <v>107592.43181818182</v>
      </c>
      <c r="H26" s="107">
        <v>5917583.75</v>
      </c>
      <c r="I26" s="107"/>
      <c r="J26" s="107"/>
      <c r="K26" s="191" t="s">
        <v>3</v>
      </c>
    </row>
    <row r="27" spans="1:12" ht="15.75" thickBot="1">
      <c r="A27" s="42" t="s">
        <v>63</v>
      </c>
      <c r="B27" s="43">
        <v>64.8</v>
      </c>
      <c r="C27" s="226">
        <f t="shared" si="5"/>
        <v>96996.492962962962</v>
      </c>
      <c r="D27" s="150">
        <v>6285372.7439999999</v>
      </c>
      <c r="E27" s="227">
        <f t="shared" si="4"/>
        <v>97553.992962962962</v>
      </c>
      <c r="F27" s="106">
        <v>6321498.7439999999</v>
      </c>
      <c r="G27" s="227">
        <f t="shared" si="3"/>
        <v>97250.712962962964</v>
      </c>
      <c r="H27" s="106">
        <v>6301846.2000000002</v>
      </c>
      <c r="I27" s="150"/>
      <c r="J27" s="106"/>
      <c r="K27" s="192" t="s">
        <v>3</v>
      </c>
    </row>
    <row r="28" spans="1:12">
      <c r="A28" s="39" t="s">
        <v>65</v>
      </c>
      <c r="B28" s="45">
        <v>34</v>
      </c>
      <c r="C28" s="223">
        <f t="shared" si="5"/>
        <v>123282.92647058824</v>
      </c>
      <c r="D28" s="107">
        <v>4191619.5</v>
      </c>
      <c r="E28" s="221">
        <f t="shared" si="4"/>
        <v>123840.42647058824</v>
      </c>
      <c r="F28" s="155">
        <v>4210574.5</v>
      </c>
      <c r="G28" s="222">
        <f t="shared" si="3"/>
        <v>124397.92647058824</v>
      </c>
      <c r="H28" s="107">
        <v>4229529.5</v>
      </c>
      <c r="I28" s="107"/>
      <c r="J28" s="107"/>
      <c r="K28" s="193" t="s">
        <v>3</v>
      </c>
    </row>
    <row r="29" spans="1:12">
      <c r="A29" s="39" t="s">
        <v>65</v>
      </c>
      <c r="B29" s="45">
        <v>37</v>
      </c>
      <c r="C29" s="223">
        <f t="shared" si="5"/>
        <v>121584.72297297297</v>
      </c>
      <c r="D29" s="105">
        <v>4498634.75</v>
      </c>
      <c r="E29" s="224">
        <f t="shared" si="4"/>
        <v>122142.22297297297</v>
      </c>
      <c r="F29" s="105">
        <v>4519262.25</v>
      </c>
      <c r="G29" s="225">
        <f t="shared" si="3"/>
        <v>122699.72297297297</v>
      </c>
      <c r="H29" s="105">
        <v>4539889.75</v>
      </c>
      <c r="I29" s="105"/>
      <c r="J29" s="105"/>
      <c r="K29" s="193" t="s">
        <v>3</v>
      </c>
    </row>
    <row r="30" spans="1:12">
      <c r="A30" s="39" t="s">
        <v>66</v>
      </c>
      <c r="B30" s="45">
        <v>51.1</v>
      </c>
      <c r="C30" s="223">
        <f t="shared" si="5"/>
        <v>109358.26174168297</v>
      </c>
      <c r="D30" s="105">
        <v>5588207.1749999998</v>
      </c>
      <c r="E30" s="224">
        <f t="shared" si="4"/>
        <v>109915.76174168297</v>
      </c>
      <c r="F30" s="105">
        <v>5616695.4249999998</v>
      </c>
      <c r="G30" s="225">
        <f t="shared" si="3"/>
        <v>110473.26174168297</v>
      </c>
      <c r="H30" s="105">
        <v>5645183.6749999998</v>
      </c>
      <c r="I30" s="105"/>
      <c r="J30" s="105"/>
      <c r="K30" s="193" t="s">
        <v>3</v>
      </c>
    </row>
    <row r="31" spans="1:12">
      <c r="A31" s="39" t="s">
        <v>65</v>
      </c>
      <c r="B31" s="45">
        <v>55</v>
      </c>
      <c r="C31" s="223">
        <f t="shared" si="5"/>
        <v>106477.43181818182</v>
      </c>
      <c r="D31" s="105">
        <v>5856258.75</v>
      </c>
      <c r="E31" s="224">
        <f t="shared" si="4"/>
        <v>107034.93181818182</v>
      </c>
      <c r="F31" s="105">
        <v>5886921.25</v>
      </c>
      <c r="G31" s="225">
        <f t="shared" si="3"/>
        <v>107592.43181818182</v>
      </c>
      <c r="H31" s="105">
        <v>5917583.75</v>
      </c>
      <c r="I31" s="105"/>
      <c r="J31" s="105"/>
      <c r="K31" s="193" t="s">
        <v>3</v>
      </c>
    </row>
    <row r="32" spans="1:12" ht="15.75" thickBot="1">
      <c r="A32" s="46" t="s">
        <v>66</v>
      </c>
      <c r="B32" s="47">
        <v>56.5</v>
      </c>
      <c r="C32" s="226">
        <f t="shared" si="5"/>
        <v>106638.89601769911</v>
      </c>
      <c r="D32" s="150">
        <v>6025097.625</v>
      </c>
      <c r="E32" s="227">
        <f t="shared" si="4"/>
        <v>107196.39601769911</v>
      </c>
      <c r="F32" s="106">
        <v>6056596.375</v>
      </c>
      <c r="G32" s="226">
        <f t="shared" si="3"/>
        <v>107753.89601769911</v>
      </c>
      <c r="H32" s="106">
        <v>6088095.125</v>
      </c>
      <c r="I32" s="106"/>
      <c r="J32" s="106"/>
      <c r="K32" s="18" t="s">
        <v>3</v>
      </c>
    </row>
    <row r="33" spans="1:11">
      <c r="A33" s="44" t="s">
        <v>67</v>
      </c>
      <c r="B33" s="40">
        <v>21.3</v>
      </c>
      <c r="C33" s="222">
        <f t="shared" si="5"/>
        <v>154108.61000000002</v>
      </c>
      <c r="D33" s="222">
        <v>3282513.3930000002</v>
      </c>
      <c r="E33" s="221">
        <f t="shared" si="4"/>
        <v>154666.11000000002</v>
      </c>
      <c r="F33" s="155">
        <v>3294388.1430000002</v>
      </c>
      <c r="G33" s="222">
        <f t="shared" si="3"/>
        <v>155223.61000000002</v>
      </c>
      <c r="H33" s="155">
        <v>3306262.8930000002</v>
      </c>
      <c r="I33" s="155"/>
      <c r="J33" s="155"/>
      <c r="K33" s="195" t="s">
        <v>3</v>
      </c>
    </row>
    <row r="34" spans="1:11">
      <c r="A34" s="39" t="s">
        <v>68</v>
      </c>
      <c r="B34" s="45">
        <v>24.3</v>
      </c>
      <c r="C34" s="223"/>
      <c r="D34" s="107"/>
      <c r="E34" s="224">
        <f t="shared" si="4"/>
        <v>151516.3242</v>
      </c>
      <c r="F34" s="105">
        <v>3681846.6780599998</v>
      </c>
      <c r="G34" s="225">
        <f t="shared" si="3"/>
        <v>152073.8242</v>
      </c>
      <c r="H34" s="105">
        <v>3695393.9280599998</v>
      </c>
      <c r="I34" s="105"/>
      <c r="J34" s="105"/>
      <c r="K34" s="193" t="s">
        <v>3</v>
      </c>
    </row>
    <row r="35" spans="1:11">
      <c r="A35" s="39" t="s">
        <v>69</v>
      </c>
      <c r="B35" s="45">
        <v>37</v>
      </c>
      <c r="C35" s="223">
        <f t="shared" ref="C35:C39" si="6">D35/B35</f>
        <v>121584.72297297297</v>
      </c>
      <c r="D35" s="228">
        <v>4498634.75</v>
      </c>
      <c r="E35" s="224">
        <f t="shared" si="4"/>
        <v>122142.22297297297</v>
      </c>
      <c r="F35" s="105">
        <v>4519262.25</v>
      </c>
      <c r="G35" s="225">
        <f t="shared" si="3"/>
        <v>122699.72297297297</v>
      </c>
      <c r="H35" s="105">
        <v>4539889.75</v>
      </c>
      <c r="I35" s="105"/>
      <c r="J35" s="105"/>
      <c r="K35" s="193" t="s">
        <v>3</v>
      </c>
    </row>
    <row r="36" spans="1:11">
      <c r="A36" s="39" t="s">
        <v>68</v>
      </c>
      <c r="B36" s="45">
        <v>37.700000000000003</v>
      </c>
      <c r="C36" s="223">
        <f t="shared" si="6"/>
        <v>121696.63063660475</v>
      </c>
      <c r="D36" s="228">
        <v>4587962.9749999996</v>
      </c>
      <c r="E36" s="224">
        <f t="shared" si="4"/>
        <v>122254.13063660475</v>
      </c>
      <c r="F36" s="105">
        <v>4608980.7249999996</v>
      </c>
      <c r="G36" s="225">
        <f t="shared" si="3"/>
        <v>122811.63063660475</v>
      </c>
      <c r="H36" s="105">
        <v>4629998.4749999996</v>
      </c>
      <c r="I36" s="105"/>
      <c r="J36" s="105"/>
      <c r="K36" s="193" t="s">
        <v>3</v>
      </c>
    </row>
    <row r="37" spans="1:11" ht="15.75" thickBot="1">
      <c r="A37" s="48" t="s">
        <v>69</v>
      </c>
      <c r="B37" s="49">
        <v>55</v>
      </c>
      <c r="C37" s="226">
        <f t="shared" si="6"/>
        <v>106477.43181818182</v>
      </c>
      <c r="D37" s="229">
        <v>5856258.75</v>
      </c>
      <c r="E37" s="227">
        <f t="shared" si="4"/>
        <v>107034.93181818182</v>
      </c>
      <c r="F37" s="106">
        <v>5886921.25</v>
      </c>
      <c r="G37" s="230">
        <f t="shared" si="3"/>
        <v>107592.43181818182</v>
      </c>
      <c r="H37" s="231">
        <v>5917583.75</v>
      </c>
      <c r="I37" s="231"/>
      <c r="J37" s="231"/>
      <c r="K37" s="196" t="s">
        <v>3</v>
      </c>
    </row>
    <row r="38" spans="1:11" ht="15.75" thickBot="1">
      <c r="A38" s="37" t="s">
        <v>70</v>
      </c>
      <c r="B38" s="38">
        <v>64.5</v>
      </c>
      <c r="C38" s="220">
        <f t="shared" si="6"/>
        <v>96972.483488372091</v>
      </c>
      <c r="D38" s="219">
        <v>6254725.1849999996</v>
      </c>
      <c r="E38" s="220">
        <f t="shared" si="4"/>
        <v>97529.983488372091</v>
      </c>
      <c r="F38" s="162">
        <v>6290683.9349999996</v>
      </c>
      <c r="G38" s="218"/>
      <c r="H38" s="219"/>
      <c r="I38" s="219"/>
      <c r="J38" s="219"/>
      <c r="K38" s="190" t="s">
        <v>3</v>
      </c>
    </row>
    <row r="39" spans="1:11" ht="15.75" thickBot="1">
      <c r="A39" s="37" t="s">
        <v>71</v>
      </c>
      <c r="B39" s="38">
        <v>64.5</v>
      </c>
      <c r="C39" s="220">
        <f t="shared" si="6"/>
        <v>99202.483488372091</v>
      </c>
      <c r="D39" s="219">
        <v>6398560.1849999996</v>
      </c>
      <c r="E39" s="220">
        <f t="shared" si="4"/>
        <v>99759.983488372091</v>
      </c>
      <c r="F39" s="219">
        <v>6434518.9349999996</v>
      </c>
      <c r="G39" s="218">
        <f t="shared" ref="G39" si="7">H39/B39</f>
        <v>100317.48348837209</v>
      </c>
      <c r="H39" s="219">
        <v>6470477.6849999996</v>
      </c>
      <c r="I39" s="219"/>
      <c r="J39" s="219"/>
      <c r="K39" s="190" t="s">
        <v>3</v>
      </c>
    </row>
    <row r="41" spans="1:11" ht="19.5" thickBot="1">
      <c r="A41" s="164" t="s">
        <v>128</v>
      </c>
      <c r="B41" s="1"/>
      <c r="C41" s="1"/>
      <c r="D41" s="1"/>
      <c r="E41" s="4"/>
      <c r="F41" s="4"/>
      <c r="G41" s="4"/>
      <c r="H41" s="4"/>
      <c r="I41" s="4"/>
      <c r="J41" s="4"/>
      <c r="K41" s="4"/>
    </row>
    <row r="42" spans="1:11" ht="45.75" thickBot="1">
      <c r="A42" s="35" t="s">
        <v>21</v>
      </c>
      <c r="B42" s="36" t="s">
        <v>54</v>
      </c>
      <c r="C42" s="36" t="s">
        <v>23</v>
      </c>
      <c r="D42" s="36" t="s">
        <v>24</v>
      </c>
      <c r="E42" s="36" t="s">
        <v>25</v>
      </c>
      <c r="F42" s="36" t="s">
        <v>24</v>
      </c>
      <c r="G42" s="36" t="s">
        <v>55</v>
      </c>
      <c r="H42" s="36" t="s">
        <v>24</v>
      </c>
      <c r="I42" s="36" t="s">
        <v>56</v>
      </c>
      <c r="J42" s="36" t="s">
        <v>24</v>
      </c>
      <c r="K42" s="50" t="s">
        <v>3</v>
      </c>
    </row>
    <row r="43" spans="1:11" ht="15.75" thickBot="1">
      <c r="A43" s="37" t="s">
        <v>57</v>
      </c>
      <c r="B43" s="38">
        <v>55.5</v>
      </c>
      <c r="C43" s="216"/>
      <c r="D43" s="216"/>
      <c r="E43" s="216"/>
      <c r="F43" s="217"/>
      <c r="G43" s="218">
        <f>H43/B43</f>
        <v>102322.21621621621</v>
      </c>
      <c r="H43" s="219">
        <v>5678883</v>
      </c>
      <c r="I43" s="220">
        <f>J43/B43</f>
        <v>102862.21621621621</v>
      </c>
      <c r="J43" s="219">
        <v>5708853</v>
      </c>
      <c r="K43" s="190" t="s">
        <v>3</v>
      </c>
    </row>
    <row r="44" spans="1:11">
      <c r="A44" s="39" t="s">
        <v>59</v>
      </c>
      <c r="B44" s="40">
        <v>21.3</v>
      </c>
      <c r="C44" s="146"/>
      <c r="D44" s="155"/>
      <c r="E44" s="221">
        <f>F44/B44</f>
        <v>152885.88</v>
      </c>
      <c r="F44" s="155">
        <v>3256469.2440000004</v>
      </c>
      <c r="G44" s="222">
        <f t="shared" ref="G44:G57" si="8">H44/B44</f>
        <v>150351.12000000002</v>
      </c>
      <c r="H44" s="155">
        <v>3202478.8560000006</v>
      </c>
      <c r="I44" s="155"/>
      <c r="J44" s="155"/>
      <c r="K44" s="191" t="s">
        <v>3</v>
      </c>
    </row>
    <row r="45" spans="1:11">
      <c r="A45" s="39" t="s">
        <v>61</v>
      </c>
      <c r="B45" s="41">
        <v>37</v>
      </c>
      <c r="C45" s="223">
        <f>D45/B45</f>
        <v>117768.16216216216</v>
      </c>
      <c r="D45" s="105">
        <v>4357422</v>
      </c>
      <c r="E45" s="224">
        <f t="shared" ref="E45:E59" si="9">F45/B45</f>
        <v>118308.16216216216</v>
      </c>
      <c r="F45" s="105">
        <v>4377402</v>
      </c>
      <c r="G45" s="225">
        <f t="shared" si="8"/>
        <v>118848.16216216216</v>
      </c>
      <c r="H45" s="107">
        <v>4397382</v>
      </c>
      <c r="I45" s="107"/>
      <c r="J45" s="107"/>
      <c r="K45" s="191" t="s">
        <v>3</v>
      </c>
    </row>
    <row r="46" spans="1:11">
      <c r="A46" s="39" t="s">
        <v>62</v>
      </c>
      <c r="B46" s="41">
        <v>55</v>
      </c>
      <c r="C46" s="223">
        <f t="shared" ref="C46:C53" si="10">D46/B46</f>
        <v>104116.81090909091</v>
      </c>
      <c r="D46" s="105">
        <v>5726424.6000000006</v>
      </c>
      <c r="E46" s="224">
        <f t="shared" si="9"/>
        <v>104656.81090909091</v>
      </c>
      <c r="F46" s="105">
        <v>5756124.6000000006</v>
      </c>
      <c r="G46" s="225">
        <f t="shared" si="8"/>
        <v>104215.09090909091</v>
      </c>
      <c r="H46" s="107">
        <v>5731830</v>
      </c>
      <c r="I46" s="107"/>
      <c r="J46" s="107"/>
      <c r="K46" s="191" t="s">
        <v>3</v>
      </c>
    </row>
    <row r="47" spans="1:11" ht="15.75" thickBot="1">
      <c r="A47" s="42" t="s">
        <v>63</v>
      </c>
      <c r="B47" s="43">
        <v>64.8</v>
      </c>
      <c r="C47" s="226">
        <f t="shared" si="10"/>
        <v>93951.760000000009</v>
      </c>
      <c r="D47" s="150">
        <v>6088074.0480000004</v>
      </c>
      <c r="E47" s="227">
        <f t="shared" si="9"/>
        <v>94491.760000000009</v>
      </c>
      <c r="F47" s="106">
        <v>6123066.0480000004</v>
      </c>
      <c r="G47" s="227">
        <f t="shared" si="8"/>
        <v>94198.000000000015</v>
      </c>
      <c r="H47" s="106">
        <v>6104030.4000000004</v>
      </c>
      <c r="I47" s="150"/>
      <c r="J47" s="106"/>
      <c r="K47" s="192" t="s">
        <v>3</v>
      </c>
    </row>
    <row r="48" spans="1:11">
      <c r="A48" s="39" t="s">
        <v>65</v>
      </c>
      <c r="B48" s="45">
        <v>34</v>
      </c>
      <c r="C48" s="223">
        <f t="shared" si="10"/>
        <v>119413.05882352943</v>
      </c>
      <c r="D48" s="107">
        <v>4060044.0000000005</v>
      </c>
      <c r="E48" s="221">
        <f t="shared" si="9"/>
        <v>119953.05882352943</v>
      </c>
      <c r="F48" s="155">
        <v>4078404.0000000005</v>
      </c>
      <c r="G48" s="222">
        <f t="shared" si="8"/>
        <v>120493.05882352943</v>
      </c>
      <c r="H48" s="107">
        <v>4096764.0000000005</v>
      </c>
      <c r="I48" s="107"/>
      <c r="J48" s="107"/>
      <c r="K48" s="193" t="s">
        <v>3</v>
      </c>
    </row>
    <row r="49" spans="1:11">
      <c r="A49" s="39" t="s">
        <v>65</v>
      </c>
      <c r="B49" s="45">
        <v>37</v>
      </c>
      <c r="C49" s="223">
        <f t="shared" si="10"/>
        <v>117768.16216216216</v>
      </c>
      <c r="D49" s="105">
        <v>4357422</v>
      </c>
      <c r="E49" s="224">
        <f t="shared" si="9"/>
        <v>118308.16216216216</v>
      </c>
      <c r="F49" s="105">
        <v>4377402</v>
      </c>
      <c r="G49" s="225">
        <f t="shared" si="8"/>
        <v>118848.16216216216</v>
      </c>
      <c r="H49" s="105">
        <v>4397382</v>
      </c>
      <c r="I49" s="105"/>
      <c r="J49" s="105"/>
      <c r="K49" s="193" t="s">
        <v>3</v>
      </c>
    </row>
    <row r="50" spans="1:11">
      <c r="A50" s="39" t="s">
        <v>66</v>
      </c>
      <c r="B50" s="45">
        <v>51.1</v>
      </c>
      <c r="C50" s="223">
        <f t="shared" si="10"/>
        <v>105925.49119373778</v>
      </c>
      <c r="D50" s="105">
        <v>5412792.6000000006</v>
      </c>
      <c r="E50" s="224">
        <f t="shared" si="9"/>
        <v>106465.49119373778</v>
      </c>
      <c r="F50" s="105">
        <v>5440386.6000000006</v>
      </c>
      <c r="G50" s="225">
        <f t="shared" si="8"/>
        <v>107005.49119373778</v>
      </c>
      <c r="H50" s="105">
        <v>5467980.6000000006</v>
      </c>
      <c r="I50" s="105"/>
      <c r="J50" s="105"/>
      <c r="K50" s="193" t="s">
        <v>3</v>
      </c>
    </row>
    <row r="51" spans="1:11">
      <c r="A51" s="39" t="s">
        <v>65</v>
      </c>
      <c r="B51" s="45">
        <v>55</v>
      </c>
      <c r="C51" s="223">
        <f t="shared" si="10"/>
        <v>103135.09090909091</v>
      </c>
      <c r="D51" s="105">
        <v>5672430</v>
      </c>
      <c r="E51" s="224">
        <f t="shared" si="9"/>
        <v>103675.09090909091</v>
      </c>
      <c r="F51" s="105">
        <v>5702130</v>
      </c>
      <c r="G51" s="225">
        <f t="shared" si="8"/>
        <v>104215.09090909091</v>
      </c>
      <c r="H51" s="105">
        <v>5731830</v>
      </c>
      <c r="I51" s="105"/>
      <c r="J51" s="105"/>
      <c r="K51" s="193" t="s">
        <v>3</v>
      </c>
    </row>
    <row r="52" spans="1:11" ht="15.75" thickBot="1">
      <c r="A52" s="46" t="s">
        <v>66</v>
      </c>
      <c r="B52" s="47">
        <v>56.5</v>
      </c>
      <c r="C52" s="226">
        <f t="shared" si="10"/>
        <v>103291.48672566372</v>
      </c>
      <c r="D52" s="150">
        <v>5835969</v>
      </c>
      <c r="E52" s="227">
        <f t="shared" si="9"/>
        <v>103831.48672566372</v>
      </c>
      <c r="F52" s="106">
        <v>5866479</v>
      </c>
      <c r="G52" s="226">
        <f t="shared" si="8"/>
        <v>104371.48672566372</v>
      </c>
      <c r="H52" s="106">
        <v>5896989</v>
      </c>
      <c r="I52" s="106"/>
      <c r="J52" s="106"/>
      <c r="K52" s="18" t="s">
        <v>3</v>
      </c>
    </row>
    <row r="53" spans="1:11">
      <c r="A53" s="44" t="s">
        <v>67</v>
      </c>
      <c r="B53" s="40">
        <v>21.3</v>
      </c>
      <c r="C53" s="222">
        <f t="shared" si="10"/>
        <v>149271.12000000002</v>
      </c>
      <c r="D53" s="222">
        <v>3179474.8560000006</v>
      </c>
      <c r="E53" s="221">
        <f t="shared" si="9"/>
        <v>149811.12000000002</v>
      </c>
      <c r="F53" s="155">
        <v>3190976.8560000006</v>
      </c>
      <c r="G53" s="222">
        <f t="shared" si="8"/>
        <v>150351.12000000002</v>
      </c>
      <c r="H53" s="155">
        <v>3202478.8560000006</v>
      </c>
      <c r="I53" s="155"/>
      <c r="J53" s="155"/>
      <c r="K53" s="195" t="s">
        <v>3</v>
      </c>
    </row>
    <row r="54" spans="1:11">
      <c r="A54" s="39" t="s">
        <v>68</v>
      </c>
      <c r="B54" s="45">
        <v>24.3</v>
      </c>
      <c r="C54" s="223"/>
      <c r="D54" s="107"/>
      <c r="E54" s="224">
        <f t="shared" si="9"/>
        <v>146760.2064</v>
      </c>
      <c r="F54" s="105">
        <v>3566273.0155199999</v>
      </c>
      <c r="G54" s="225">
        <f t="shared" si="8"/>
        <v>147300.2064</v>
      </c>
      <c r="H54" s="105">
        <v>3579395.0155199999</v>
      </c>
      <c r="I54" s="105"/>
      <c r="J54" s="105"/>
      <c r="K54" s="193" t="s">
        <v>3</v>
      </c>
    </row>
    <row r="55" spans="1:11">
      <c r="A55" s="39" t="s">
        <v>69</v>
      </c>
      <c r="B55" s="45">
        <v>37</v>
      </c>
      <c r="C55" s="223">
        <f t="shared" ref="C55:C59" si="11">D55/B55</f>
        <v>117768.16216216216</v>
      </c>
      <c r="D55" s="228">
        <v>4357422</v>
      </c>
      <c r="E55" s="224">
        <f t="shared" si="9"/>
        <v>118308.16216216216</v>
      </c>
      <c r="F55" s="105">
        <v>4377402</v>
      </c>
      <c r="G55" s="225">
        <f t="shared" si="8"/>
        <v>118848.16216216216</v>
      </c>
      <c r="H55" s="105">
        <v>4397382</v>
      </c>
      <c r="I55" s="105"/>
      <c r="J55" s="105"/>
      <c r="K55" s="193" t="s">
        <v>3</v>
      </c>
    </row>
    <row r="56" spans="1:11">
      <c r="A56" s="39" t="s">
        <v>68</v>
      </c>
      <c r="B56" s="45">
        <v>37.700000000000003</v>
      </c>
      <c r="C56" s="223">
        <f t="shared" si="11"/>
        <v>117876.55702917771</v>
      </c>
      <c r="D56" s="228">
        <v>4443946.2</v>
      </c>
      <c r="E56" s="224">
        <f t="shared" si="9"/>
        <v>118416.55702917771</v>
      </c>
      <c r="F56" s="105">
        <v>4464304.2</v>
      </c>
      <c r="G56" s="225">
        <f t="shared" si="8"/>
        <v>118956.55702917771</v>
      </c>
      <c r="H56" s="105">
        <v>4484662.2</v>
      </c>
      <c r="I56" s="105"/>
      <c r="J56" s="105"/>
      <c r="K56" s="193" t="s">
        <v>3</v>
      </c>
    </row>
    <row r="57" spans="1:11" ht="15.75" thickBot="1">
      <c r="A57" s="48" t="s">
        <v>69</v>
      </c>
      <c r="B57" s="49">
        <v>55</v>
      </c>
      <c r="C57" s="226">
        <f t="shared" si="11"/>
        <v>103135.09090909091</v>
      </c>
      <c r="D57" s="229">
        <v>5672430</v>
      </c>
      <c r="E57" s="227">
        <f t="shared" si="9"/>
        <v>103675.09090909091</v>
      </c>
      <c r="F57" s="106">
        <v>5702130</v>
      </c>
      <c r="G57" s="230">
        <f t="shared" si="8"/>
        <v>104215.09090909091</v>
      </c>
      <c r="H57" s="231">
        <v>5731830</v>
      </c>
      <c r="I57" s="231"/>
      <c r="J57" s="231"/>
      <c r="K57" s="196" t="s">
        <v>3</v>
      </c>
    </row>
    <row r="58" spans="1:11" ht="15.75" thickBot="1">
      <c r="A58" s="37" t="s">
        <v>70</v>
      </c>
      <c r="B58" s="38">
        <v>64.5</v>
      </c>
      <c r="C58" s="220">
        <f t="shared" si="11"/>
        <v>93928.504186046513</v>
      </c>
      <c r="D58" s="219">
        <v>6058388.5200000005</v>
      </c>
      <c r="E58" s="220">
        <f t="shared" si="9"/>
        <v>94468.504186046513</v>
      </c>
      <c r="F58" s="162">
        <v>6093218.5200000005</v>
      </c>
      <c r="G58" s="218"/>
      <c r="H58" s="219"/>
      <c r="I58" s="219"/>
      <c r="J58" s="219"/>
      <c r="K58" s="190" t="s">
        <v>3</v>
      </c>
    </row>
    <row r="59" spans="1:11" ht="15.75" thickBot="1">
      <c r="A59" s="37" t="s">
        <v>71</v>
      </c>
      <c r="B59" s="38">
        <v>64.5</v>
      </c>
      <c r="C59" s="220">
        <f t="shared" si="11"/>
        <v>96088.504186046513</v>
      </c>
      <c r="D59" s="219">
        <v>6197708.5200000005</v>
      </c>
      <c r="E59" s="220">
        <f t="shared" si="9"/>
        <v>96628.504186046513</v>
      </c>
      <c r="F59" s="219">
        <v>6232538.5200000005</v>
      </c>
      <c r="G59" s="218">
        <f t="shared" ref="G59" si="12">H59/B59</f>
        <v>97168.504186046513</v>
      </c>
      <c r="H59" s="219">
        <v>6267368.5200000005</v>
      </c>
      <c r="I59" s="219"/>
      <c r="J59" s="219"/>
      <c r="K59" s="190" t="s">
        <v>3</v>
      </c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59"/>
  <sheetViews>
    <sheetView zoomScale="90" zoomScaleNormal="90" workbookViewId="0">
      <selection activeCell="I3" sqref="I3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3" customWidth="1"/>
    <col min="14" max="14" width="15.85546875" customWidth="1"/>
    <col min="16" max="16" width="11.140625" customWidth="1"/>
    <col min="17" max="17" width="14.5703125" customWidth="1"/>
    <col min="18" max="18" width="17.42578125" customWidth="1"/>
    <col min="19" max="19" width="19.28515625" customWidth="1"/>
    <col min="20" max="20" width="20.140625" customWidth="1"/>
    <col min="21" max="21" width="16.85546875" customWidth="1"/>
    <col min="22" max="22" width="25.42578125" customWidth="1"/>
  </cols>
  <sheetData>
    <row r="1" spans="1:23" s="1" customFormat="1" ht="19.5" thickBot="1">
      <c r="A1" s="164" t="s">
        <v>130</v>
      </c>
      <c r="E1" s="4"/>
      <c r="F1" s="4"/>
      <c r="G1" s="4"/>
      <c r="H1" s="4"/>
      <c r="I1" s="4"/>
      <c r="J1" s="4"/>
      <c r="K1" s="4"/>
    </row>
    <row r="2" spans="1:23" ht="46.5" customHeight="1" thickBot="1">
      <c r="A2" s="35" t="s">
        <v>21</v>
      </c>
      <c r="B2" s="36" t="s">
        <v>54</v>
      </c>
      <c r="C2" s="36" t="s">
        <v>23</v>
      </c>
      <c r="D2" s="36" t="s">
        <v>24</v>
      </c>
      <c r="E2" s="36" t="s">
        <v>25</v>
      </c>
      <c r="F2" s="36" t="s">
        <v>24</v>
      </c>
      <c r="G2" s="36" t="s">
        <v>55</v>
      </c>
      <c r="H2" s="36" t="s">
        <v>24</v>
      </c>
      <c r="I2" s="36" t="s">
        <v>56</v>
      </c>
      <c r="J2" s="36" t="s">
        <v>24</v>
      </c>
      <c r="K2" s="50" t="s">
        <v>3</v>
      </c>
    </row>
    <row r="3" spans="1:23" ht="15.75" thickBot="1">
      <c r="A3" s="37" t="s">
        <v>57</v>
      </c>
      <c r="B3" s="234">
        <v>55.5</v>
      </c>
      <c r="C3" s="216"/>
      <c r="D3" s="216"/>
      <c r="E3" s="216"/>
      <c r="F3" s="217"/>
      <c r="G3" s="218">
        <f>H3/B3</f>
        <v>94742.792792792796</v>
      </c>
      <c r="H3" s="219">
        <f>5658225-400000</f>
        <v>5258225</v>
      </c>
      <c r="I3" s="220">
        <f>J3/B3</f>
        <v>95242.792792792796</v>
      </c>
      <c r="J3" s="219">
        <f>5685975-400000</f>
        <v>5285975</v>
      </c>
      <c r="K3" s="190" t="s">
        <v>3</v>
      </c>
      <c r="L3" s="57" t="s">
        <v>98</v>
      </c>
      <c r="N3" s="233" t="s">
        <v>114</v>
      </c>
    </row>
    <row r="4" spans="1:23">
      <c r="A4" s="39" t="s">
        <v>59</v>
      </c>
      <c r="B4" s="235">
        <v>21.3</v>
      </c>
      <c r="C4" s="146"/>
      <c r="D4" s="155"/>
      <c r="E4" s="221">
        <f>F4/B4</f>
        <v>141561</v>
      </c>
      <c r="F4" s="155">
        <v>3015249.3000000003</v>
      </c>
      <c r="G4" s="222">
        <f t="shared" ref="G4:G19" si="0">H4/B4</f>
        <v>139214</v>
      </c>
      <c r="H4" s="155">
        <v>2965258.2</v>
      </c>
      <c r="I4" s="155"/>
      <c r="J4" s="155"/>
      <c r="K4" s="191" t="s">
        <v>3</v>
      </c>
      <c r="N4" s="213" t="s">
        <v>101</v>
      </c>
      <c r="O4" s="212" t="s">
        <v>104</v>
      </c>
      <c r="P4" s="212" t="s">
        <v>102</v>
      </c>
      <c r="Q4" s="213" t="s">
        <v>103</v>
      </c>
      <c r="R4" s="213" t="s">
        <v>108</v>
      </c>
      <c r="S4" s="213" t="s">
        <v>105</v>
      </c>
      <c r="T4" s="213" t="s">
        <v>110</v>
      </c>
      <c r="U4" s="213" t="s">
        <v>109</v>
      </c>
      <c r="V4" s="213" t="s">
        <v>107</v>
      </c>
      <c r="W4" s="213" t="s">
        <v>106</v>
      </c>
    </row>
    <row r="5" spans="1:23">
      <c r="A5" s="39" t="s">
        <v>61</v>
      </c>
      <c r="B5" s="236">
        <v>37</v>
      </c>
      <c r="C5" s="223">
        <f>D5/B5</f>
        <v>109044.5945945946</v>
      </c>
      <c r="D5" s="105">
        <f>4234650-200000</f>
        <v>4034650</v>
      </c>
      <c r="E5" s="224">
        <f t="shared" ref="E5:E19" si="1">F5/B5</f>
        <v>109544.5945945946</v>
      </c>
      <c r="F5" s="105">
        <f>4253150-200000</f>
        <v>4053150</v>
      </c>
      <c r="G5" s="225">
        <f t="shared" si="0"/>
        <v>110044.5945945946</v>
      </c>
      <c r="H5" s="107">
        <f>4271650-200000</f>
        <v>4071650</v>
      </c>
      <c r="I5" s="107"/>
      <c r="J5" s="107"/>
      <c r="K5" s="191" t="s">
        <v>3</v>
      </c>
      <c r="L5" s="57" t="s">
        <v>99</v>
      </c>
      <c r="N5" s="107">
        <f>4271650-200000</f>
        <v>4071650</v>
      </c>
      <c r="O5" s="214">
        <v>0.20100000000000001</v>
      </c>
      <c r="P5" s="107">
        <f>N5*O5</f>
        <v>818401.65</v>
      </c>
      <c r="Q5" s="107">
        <f>N5-P5</f>
        <v>3253248.35</v>
      </c>
      <c r="R5" s="215">
        <v>0.16600000000000001</v>
      </c>
      <c r="S5" s="107">
        <f>Q5*R5</f>
        <v>540039.22610000009</v>
      </c>
      <c r="T5" s="215">
        <v>0.13500000000000001</v>
      </c>
      <c r="U5" s="107">
        <f>N5*1.135</f>
        <v>4621322.75</v>
      </c>
      <c r="V5" s="107">
        <f>U5-S5</f>
        <v>4081283.5238999999</v>
      </c>
      <c r="W5" s="107">
        <f>V5-N5</f>
        <v>9633.5238999999128</v>
      </c>
    </row>
    <row r="6" spans="1:23">
      <c r="A6" s="39" t="s">
        <v>62</v>
      </c>
      <c r="B6" s="236">
        <v>55</v>
      </c>
      <c r="C6" s="223">
        <f t="shared" ref="C6:C19" si="2">D6/B6</f>
        <v>96404.454545454544</v>
      </c>
      <c r="D6" s="105">
        <f>5602245-300000</f>
        <v>5302245</v>
      </c>
      <c r="E6" s="224">
        <f t="shared" si="1"/>
        <v>96904.454545454544</v>
      </c>
      <c r="F6" s="105">
        <f>5629745-300000</f>
        <v>5329745</v>
      </c>
      <c r="G6" s="225">
        <f t="shared" si="0"/>
        <v>96495.454545454544</v>
      </c>
      <c r="H6" s="107">
        <f>5607250-300000</f>
        <v>5307250</v>
      </c>
      <c r="I6" s="107"/>
      <c r="J6" s="107"/>
      <c r="K6" s="191" t="s">
        <v>3</v>
      </c>
      <c r="L6" s="57" t="s">
        <v>100</v>
      </c>
      <c r="N6" s="107">
        <f t="shared" ref="N6:N7" si="3">4271650-200000</f>
        <v>4071650</v>
      </c>
      <c r="O6" s="214">
        <v>0.30199999999999999</v>
      </c>
      <c r="P6" s="107">
        <f t="shared" ref="P6:P7" si="4">N6*O6</f>
        <v>1229638.3</v>
      </c>
      <c r="Q6" s="107">
        <f t="shared" ref="Q6:Q7" si="5">N6-P6</f>
        <v>2842011.7</v>
      </c>
      <c r="R6" s="215">
        <v>0.159</v>
      </c>
      <c r="S6" s="107">
        <f t="shared" ref="S6:S7" si="6">Q6*R6</f>
        <v>451879.86030000006</v>
      </c>
      <c r="T6" s="215">
        <v>0.115</v>
      </c>
      <c r="U6" s="107">
        <f>N6*1.115</f>
        <v>4539889.75</v>
      </c>
      <c r="V6" s="107">
        <f>U6-S6</f>
        <v>4088009.8897000002</v>
      </c>
      <c r="W6" s="107">
        <f>V6-N6</f>
        <v>16359.889700000174</v>
      </c>
    </row>
    <row r="7" spans="1:23" ht="15.75" thickBot="1">
      <c r="A7" s="42" t="s">
        <v>63</v>
      </c>
      <c r="B7" s="237">
        <v>64.8</v>
      </c>
      <c r="C7" s="226">
        <f t="shared" si="2"/>
        <v>86992.370370370365</v>
      </c>
      <c r="D7" s="150">
        <f>5937105.6-300000</f>
        <v>5637105.5999999996</v>
      </c>
      <c r="E7" s="227">
        <f t="shared" si="1"/>
        <v>87492.370370370365</v>
      </c>
      <c r="F7" s="106">
        <f>5969505.6-300000</f>
        <v>5669505.5999999996</v>
      </c>
      <c r="G7" s="227">
        <f t="shared" si="0"/>
        <v>87220.37037037038</v>
      </c>
      <c r="H7" s="106">
        <f>5951880-300000</f>
        <v>5651880</v>
      </c>
      <c r="I7" s="150"/>
      <c r="J7" s="106"/>
      <c r="K7" s="192" t="s">
        <v>3</v>
      </c>
      <c r="L7" s="57" t="s">
        <v>100</v>
      </c>
      <c r="N7" s="107">
        <f t="shared" si="3"/>
        <v>4071650</v>
      </c>
      <c r="O7" s="214">
        <v>0.502</v>
      </c>
      <c r="P7" s="107">
        <f t="shared" si="4"/>
        <v>2043968.3</v>
      </c>
      <c r="Q7" s="107">
        <f t="shared" si="5"/>
        <v>2027681.7</v>
      </c>
      <c r="R7" s="215">
        <v>0.152</v>
      </c>
      <c r="S7" s="107">
        <f t="shared" si="6"/>
        <v>308207.61839999998</v>
      </c>
      <c r="T7" s="215">
        <v>0.08</v>
      </c>
      <c r="U7" s="107">
        <f>N7*1.08</f>
        <v>4397382</v>
      </c>
      <c r="V7" s="107">
        <f>U7-S7</f>
        <v>4089174.3816</v>
      </c>
      <c r="W7" s="107">
        <f>V7-N7</f>
        <v>17524.381599999964</v>
      </c>
    </row>
    <row r="8" spans="1:23">
      <c r="A8" s="39" t="s">
        <v>65</v>
      </c>
      <c r="B8" s="24">
        <v>34</v>
      </c>
      <c r="C8" s="223">
        <f t="shared" si="2"/>
        <v>110567.64705882352</v>
      </c>
      <c r="D8" s="107">
        <f>3959300-200000</f>
        <v>3759300</v>
      </c>
      <c r="E8" s="221">
        <f t="shared" si="1"/>
        <v>111067.64705882352</v>
      </c>
      <c r="F8" s="155">
        <f>3976300-200000</f>
        <v>3776300</v>
      </c>
      <c r="G8" s="222">
        <f t="shared" si="0"/>
        <v>111567.64705882352</v>
      </c>
      <c r="H8" s="107">
        <f>3993300-200000</f>
        <v>3793300</v>
      </c>
      <c r="I8" s="107"/>
      <c r="J8" s="107"/>
      <c r="K8" s="193" t="s">
        <v>3</v>
      </c>
      <c r="L8" s="57" t="s">
        <v>99</v>
      </c>
      <c r="N8" s="233" t="s">
        <v>115</v>
      </c>
    </row>
    <row r="9" spans="1:23">
      <c r="A9" s="39" t="s">
        <v>65</v>
      </c>
      <c r="B9" s="24">
        <v>37</v>
      </c>
      <c r="C9" s="223">
        <f t="shared" si="2"/>
        <v>109044.5945945946</v>
      </c>
      <c r="D9" s="105">
        <f>4234650-200000</f>
        <v>4034650</v>
      </c>
      <c r="E9" s="224">
        <f t="shared" si="1"/>
        <v>109544.5945945946</v>
      </c>
      <c r="F9" s="105">
        <f>4253150-200000</f>
        <v>4053150</v>
      </c>
      <c r="G9" s="225">
        <f t="shared" si="0"/>
        <v>110044.5945945946</v>
      </c>
      <c r="H9" s="105">
        <f>4271650-200000</f>
        <v>4071650</v>
      </c>
      <c r="I9" s="105"/>
      <c r="J9" s="105"/>
      <c r="K9" s="193" t="s">
        <v>3</v>
      </c>
      <c r="L9" s="57" t="s">
        <v>99</v>
      </c>
      <c r="N9" s="213" t="s">
        <v>101</v>
      </c>
      <c r="O9" s="212" t="s">
        <v>104</v>
      </c>
      <c r="P9" s="212" t="s">
        <v>102</v>
      </c>
      <c r="Q9" s="213" t="s">
        <v>103</v>
      </c>
      <c r="R9" s="213" t="s">
        <v>108</v>
      </c>
      <c r="S9" s="213" t="s">
        <v>105</v>
      </c>
      <c r="T9" s="213" t="s">
        <v>110</v>
      </c>
      <c r="U9" s="213" t="s">
        <v>109</v>
      </c>
      <c r="V9" s="213" t="s">
        <v>107</v>
      </c>
      <c r="W9" s="213" t="s">
        <v>106</v>
      </c>
    </row>
    <row r="10" spans="1:23">
      <c r="A10" s="39" t="s">
        <v>66</v>
      </c>
      <c r="B10" s="24">
        <v>51.1</v>
      </c>
      <c r="C10" s="223">
        <f t="shared" si="2"/>
        <v>98079.158512720154</v>
      </c>
      <c r="D10" s="105">
        <f>5311845-300000</f>
        <v>5011845</v>
      </c>
      <c r="E10" s="224">
        <f t="shared" si="1"/>
        <v>98579.158512720154</v>
      </c>
      <c r="F10" s="105">
        <f>5337395-300000</f>
        <v>5037395</v>
      </c>
      <c r="G10" s="225">
        <f t="shared" si="0"/>
        <v>99079.158512720154</v>
      </c>
      <c r="H10" s="105">
        <f>5362945-300000</f>
        <v>5062945</v>
      </c>
      <c r="I10" s="105"/>
      <c r="J10" s="105"/>
      <c r="K10" s="193" t="s">
        <v>3</v>
      </c>
      <c r="L10" s="57" t="s">
        <v>100</v>
      </c>
      <c r="N10" s="107">
        <f>4271650-200000</f>
        <v>4071650</v>
      </c>
      <c r="O10" s="214">
        <v>0.2001</v>
      </c>
      <c r="P10" s="107">
        <f>N10*O10</f>
        <v>814737.16500000004</v>
      </c>
      <c r="Q10" s="107">
        <f>N10-P10</f>
        <v>3256912.835</v>
      </c>
      <c r="R10" s="215">
        <v>8.5999999999999993E-2</v>
      </c>
      <c r="S10" s="107">
        <f>Q10*R10</f>
        <v>280094.50380999997</v>
      </c>
      <c r="T10" s="215">
        <v>7.0000000000000007E-2</v>
      </c>
      <c r="U10" s="107">
        <f>N10*1.07</f>
        <v>4356665.5</v>
      </c>
      <c r="V10" s="107">
        <f>U10-S10</f>
        <v>4076570.9961899999</v>
      </c>
      <c r="W10" s="107">
        <f>V10-N10</f>
        <v>4920.9961899998598</v>
      </c>
    </row>
    <row r="11" spans="1:23">
      <c r="A11" s="39" t="s">
        <v>65</v>
      </c>
      <c r="B11" s="24">
        <v>55</v>
      </c>
      <c r="C11" s="223">
        <f t="shared" si="2"/>
        <v>95495.454545454544</v>
      </c>
      <c r="D11" s="105">
        <f>5552250-300000</f>
        <v>5252250</v>
      </c>
      <c r="E11" s="224">
        <f t="shared" si="1"/>
        <v>95995.454545454544</v>
      </c>
      <c r="F11" s="105">
        <f>5579750-300000</f>
        <v>5279750</v>
      </c>
      <c r="G11" s="225">
        <f t="shared" si="0"/>
        <v>96495.454545454544</v>
      </c>
      <c r="H11" s="105">
        <f>5607250-300000</f>
        <v>5307250</v>
      </c>
      <c r="I11" s="105"/>
      <c r="J11" s="105"/>
      <c r="K11" s="193" t="s">
        <v>3</v>
      </c>
      <c r="L11" s="57" t="s">
        <v>100</v>
      </c>
    </row>
    <row r="12" spans="1:23" ht="15.75" thickBot="1">
      <c r="A12" s="46" t="s">
        <v>66</v>
      </c>
      <c r="B12" s="237">
        <v>56.5</v>
      </c>
      <c r="C12" s="226">
        <f t="shared" si="2"/>
        <v>95640.265486725664</v>
      </c>
      <c r="D12" s="150">
        <f>5703675-300000</f>
        <v>5403675</v>
      </c>
      <c r="E12" s="227">
        <f t="shared" si="1"/>
        <v>96140.265486725664</v>
      </c>
      <c r="F12" s="106">
        <f>5731925-300000</f>
        <v>5431925</v>
      </c>
      <c r="G12" s="226">
        <f t="shared" si="0"/>
        <v>96640.265486725664</v>
      </c>
      <c r="H12" s="106">
        <f>5760175-300000</f>
        <v>5460175</v>
      </c>
      <c r="I12" s="106"/>
      <c r="J12" s="106"/>
      <c r="K12" s="194" t="s">
        <v>3</v>
      </c>
      <c r="L12" s="57" t="s">
        <v>100</v>
      </c>
    </row>
    <row r="13" spans="1:23">
      <c r="A13" s="44" t="s">
        <v>67</v>
      </c>
      <c r="B13" s="235">
        <v>21.3</v>
      </c>
      <c r="C13" s="222">
        <f t="shared" si="2"/>
        <v>138214</v>
      </c>
      <c r="D13" s="222">
        <v>2943958.2</v>
      </c>
      <c r="E13" s="221">
        <f t="shared" si="1"/>
        <v>138714</v>
      </c>
      <c r="F13" s="155">
        <v>2954608.2</v>
      </c>
      <c r="G13" s="222">
        <f t="shared" si="0"/>
        <v>139214</v>
      </c>
      <c r="H13" s="155">
        <v>2965258.2</v>
      </c>
      <c r="I13" s="155"/>
      <c r="J13" s="155"/>
      <c r="K13" s="195" t="s">
        <v>3</v>
      </c>
      <c r="M13" s="34"/>
    </row>
    <row r="14" spans="1:23">
      <c r="A14" s="39" t="s">
        <v>68</v>
      </c>
      <c r="B14" s="24">
        <v>24.3</v>
      </c>
      <c r="C14" s="223"/>
      <c r="D14" s="107"/>
      <c r="E14" s="224">
        <f t="shared" si="1"/>
        <v>135889.07999999999</v>
      </c>
      <c r="F14" s="105">
        <v>3302104.6439999999</v>
      </c>
      <c r="G14" s="225">
        <f t="shared" si="0"/>
        <v>136389.07999999999</v>
      </c>
      <c r="H14" s="105">
        <v>3314254.6439999999</v>
      </c>
      <c r="I14" s="105"/>
      <c r="J14" s="105"/>
      <c r="K14" s="193" t="s">
        <v>3</v>
      </c>
      <c r="M14" s="34"/>
    </row>
    <row r="15" spans="1:23">
      <c r="A15" s="39" t="s">
        <v>69</v>
      </c>
      <c r="B15" s="24">
        <v>37</v>
      </c>
      <c r="C15" s="223">
        <f t="shared" si="2"/>
        <v>109044.5945945946</v>
      </c>
      <c r="D15" s="228">
        <f>4234650-200000</f>
        <v>4034650</v>
      </c>
      <c r="E15" s="224">
        <f t="shared" si="1"/>
        <v>109544.5945945946</v>
      </c>
      <c r="F15" s="105">
        <f>4253150-200000</f>
        <v>4053150</v>
      </c>
      <c r="G15" s="225">
        <f t="shared" si="0"/>
        <v>110044.5945945946</v>
      </c>
      <c r="H15" s="105">
        <f>4271650-200000</f>
        <v>4071650</v>
      </c>
      <c r="I15" s="105"/>
      <c r="J15" s="105"/>
      <c r="K15" s="193" t="s">
        <v>3</v>
      </c>
      <c r="L15" s="57" t="s">
        <v>99</v>
      </c>
      <c r="M15" s="34"/>
    </row>
    <row r="16" spans="1:23">
      <c r="A16" s="39" t="s">
        <v>68</v>
      </c>
      <c r="B16" s="24">
        <v>37.700000000000003</v>
      </c>
      <c r="C16" s="223">
        <f t="shared" si="2"/>
        <v>109144.96021220158</v>
      </c>
      <c r="D16" s="228">
        <f>4314765-200000</f>
        <v>4114765</v>
      </c>
      <c r="E16" s="224">
        <f t="shared" si="1"/>
        <v>109644.96021220158</v>
      </c>
      <c r="F16" s="105">
        <f>4333615-200000</f>
        <v>4133615</v>
      </c>
      <c r="G16" s="225">
        <f t="shared" si="0"/>
        <v>110144.96021220158</v>
      </c>
      <c r="H16" s="105">
        <f>4352465-200000</f>
        <v>4152465</v>
      </c>
      <c r="I16" s="105"/>
      <c r="J16" s="105"/>
      <c r="K16" s="193" t="s">
        <v>3</v>
      </c>
      <c r="L16" s="57" t="s">
        <v>99</v>
      </c>
      <c r="M16" s="34"/>
    </row>
    <row r="17" spans="1:13" ht="15.75" thickBot="1">
      <c r="A17" s="48" t="s">
        <v>69</v>
      </c>
      <c r="B17" s="238">
        <v>55</v>
      </c>
      <c r="C17" s="226">
        <f t="shared" si="2"/>
        <v>95495.454545454544</v>
      </c>
      <c r="D17" s="229">
        <f>5552250-300000</f>
        <v>5252250</v>
      </c>
      <c r="E17" s="227">
        <f t="shared" si="1"/>
        <v>95995.454545454544</v>
      </c>
      <c r="F17" s="106">
        <f>5579750-300000</f>
        <v>5279750</v>
      </c>
      <c r="G17" s="230">
        <f t="shared" si="0"/>
        <v>96495.454545454544</v>
      </c>
      <c r="H17" s="231">
        <f>5607250-300000</f>
        <v>5307250</v>
      </c>
      <c r="I17" s="231"/>
      <c r="J17" s="231"/>
      <c r="K17" s="196" t="s">
        <v>3</v>
      </c>
      <c r="L17" s="57" t="s">
        <v>100</v>
      </c>
      <c r="M17" s="34"/>
    </row>
    <row r="18" spans="1:13" ht="15.75" thickBot="1">
      <c r="A18" s="37" t="s">
        <v>70</v>
      </c>
      <c r="B18" s="234">
        <v>64.5</v>
      </c>
      <c r="C18" s="220">
        <f t="shared" si="2"/>
        <v>86970.837209302321</v>
      </c>
      <c r="D18" s="219">
        <f>5909619-300000</f>
        <v>5609619</v>
      </c>
      <c r="E18" s="220">
        <f t="shared" si="1"/>
        <v>87470.837209302321</v>
      </c>
      <c r="F18" s="162">
        <f>5941869-300000</f>
        <v>5641869</v>
      </c>
      <c r="G18" s="218"/>
      <c r="H18" s="219"/>
      <c r="I18" s="219"/>
      <c r="J18" s="219"/>
      <c r="K18" s="190" t="s">
        <v>3</v>
      </c>
      <c r="L18" s="57" t="s">
        <v>100</v>
      </c>
    </row>
    <row r="19" spans="1:13" ht="15.75" thickBot="1">
      <c r="A19" s="37" t="s">
        <v>71</v>
      </c>
      <c r="B19" s="234">
        <v>64.5</v>
      </c>
      <c r="C19" s="220">
        <f t="shared" si="2"/>
        <v>88970.837209302321</v>
      </c>
      <c r="D19" s="219">
        <f>6038619-300000</f>
        <v>5738619</v>
      </c>
      <c r="E19" s="220">
        <f t="shared" si="1"/>
        <v>89470.837209302321</v>
      </c>
      <c r="F19" s="219">
        <f>6070869-300000</f>
        <v>5770869</v>
      </c>
      <c r="G19" s="218">
        <f t="shared" si="0"/>
        <v>89970.837209302321</v>
      </c>
      <c r="H19" s="219">
        <f>6103119-300000</f>
        <v>5803119</v>
      </c>
      <c r="I19" s="219"/>
      <c r="J19" s="219"/>
      <c r="K19" s="190" t="s">
        <v>3</v>
      </c>
      <c r="L19" s="57" t="s">
        <v>100</v>
      </c>
    </row>
    <row r="21" spans="1:13" ht="19.5" thickBot="1">
      <c r="A21" s="164" t="s">
        <v>131</v>
      </c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3" ht="45.75" thickBot="1">
      <c r="A22" s="35" t="s">
        <v>21</v>
      </c>
      <c r="B22" s="36" t="s">
        <v>54</v>
      </c>
      <c r="C22" s="36" t="s">
        <v>23</v>
      </c>
      <c r="D22" s="36" t="s">
        <v>24</v>
      </c>
      <c r="E22" s="36" t="s">
        <v>25</v>
      </c>
      <c r="F22" s="36" t="s">
        <v>24</v>
      </c>
      <c r="G22" s="36" t="s">
        <v>55</v>
      </c>
      <c r="H22" s="36" t="s">
        <v>24</v>
      </c>
      <c r="I22" s="36" t="s">
        <v>56</v>
      </c>
      <c r="J22" s="36" t="s">
        <v>24</v>
      </c>
      <c r="K22" s="50" t="s">
        <v>3</v>
      </c>
    </row>
    <row r="23" spans="1:13" ht="15.75" thickBot="1">
      <c r="A23" s="37" t="s">
        <v>57</v>
      </c>
      <c r="B23" s="234">
        <v>55.5</v>
      </c>
      <c r="C23" s="216"/>
      <c r="D23" s="216"/>
      <c r="E23" s="216"/>
      <c r="F23" s="217"/>
      <c r="G23" s="218">
        <f>H23/B23</f>
        <v>90005.653153153151</v>
      </c>
      <c r="H23" s="219">
        <v>4995313.75</v>
      </c>
      <c r="I23" s="220">
        <f>J23/B23</f>
        <v>90480.648648648654</v>
      </c>
      <c r="J23" s="219">
        <v>5021676</v>
      </c>
      <c r="K23" s="190" t="s">
        <v>3</v>
      </c>
    </row>
    <row r="24" spans="1:13">
      <c r="A24" s="39" t="s">
        <v>59</v>
      </c>
      <c r="B24" s="235">
        <v>21.3</v>
      </c>
      <c r="C24" s="146"/>
      <c r="D24" s="155"/>
      <c r="E24" s="221">
        <f>F24/B24</f>
        <v>134482.94999999998</v>
      </c>
      <c r="F24" s="155">
        <v>2864486.835</v>
      </c>
      <c r="G24" s="222">
        <f t="shared" ref="G24:G37" si="7">H24/B24</f>
        <v>132253.29999999999</v>
      </c>
      <c r="H24" s="155">
        <v>2816995.29</v>
      </c>
      <c r="I24" s="155"/>
      <c r="J24" s="155"/>
      <c r="K24" s="191" t="s">
        <v>3</v>
      </c>
    </row>
    <row r="25" spans="1:13">
      <c r="A25" s="39" t="s">
        <v>61</v>
      </c>
      <c r="B25" s="236">
        <v>37</v>
      </c>
      <c r="C25" s="223">
        <f>D25/B25</f>
        <v>103592.36486486487</v>
      </c>
      <c r="D25" s="105">
        <v>3832917.5</v>
      </c>
      <c r="E25" s="224">
        <f t="shared" ref="E25:E38" si="8">F25/B25</f>
        <v>104067.36486486487</v>
      </c>
      <c r="F25" s="105">
        <v>3850492.5</v>
      </c>
      <c r="G25" s="225">
        <f t="shared" si="7"/>
        <v>104542.36486486487</v>
      </c>
      <c r="H25" s="107">
        <v>3868067.5</v>
      </c>
      <c r="I25" s="107"/>
      <c r="J25" s="107"/>
      <c r="K25" s="191" t="s">
        <v>3</v>
      </c>
    </row>
    <row r="26" spans="1:13">
      <c r="A26" s="39" t="s">
        <v>62</v>
      </c>
      <c r="B26" s="236">
        <v>55</v>
      </c>
      <c r="C26" s="223">
        <f t="shared" ref="C26:C38" si="9">D26/B26</f>
        <v>91584.231818181812</v>
      </c>
      <c r="D26" s="105">
        <v>5037132.75</v>
      </c>
      <c r="E26" s="224">
        <f t="shared" si="8"/>
        <v>92059.231818181812</v>
      </c>
      <c r="F26" s="105">
        <v>5063257.75</v>
      </c>
      <c r="G26" s="225">
        <f t="shared" si="7"/>
        <v>91670.681818181823</v>
      </c>
      <c r="H26" s="107">
        <v>5041887.5</v>
      </c>
      <c r="I26" s="107"/>
      <c r="J26" s="107"/>
      <c r="K26" s="191" t="s">
        <v>3</v>
      </c>
    </row>
    <row r="27" spans="1:13" ht="15.75" thickBot="1">
      <c r="A27" s="42" t="s">
        <v>63</v>
      </c>
      <c r="B27" s="237">
        <v>64.8</v>
      </c>
      <c r="C27" s="226">
        <f t="shared" si="9"/>
        <v>82642.751851851848</v>
      </c>
      <c r="D27" s="150">
        <v>5355250.3199999994</v>
      </c>
      <c r="E27" s="227">
        <f t="shared" si="8"/>
        <v>83117.751851851848</v>
      </c>
      <c r="F27" s="106">
        <v>5386030.3199999994</v>
      </c>
      <c r="G27" s="227">
        <f t="shared" si="7"/>
        <v>82859.351851851854</v>
      </c>
      <c r="H27" s="106">
        <v>5369286</v>
      </c>
      <c r="I27" s="150"/>
      <c r="J27" s="106"/>
      <c r="K27" s="192" t="s">
        <v>3</v>
      </c>
    </row>
    <row r="28" spans="1:13">
      <c r="A28" s="44" t="s">
        <v>64</v>
      </c>
      <c r="B28" s="24">
        <v>34</v>
      </c>
      <c r="C28" s="223">
        <f t="shared" si="9"/>
        <v>105039.26470588235</v>
      </c>
      <c r="D28" s="107">
        <v>3571335</v>
      </c>
      <c r="E28" s="221">
        <f t="shared" si="8"/>
        <v>105514.26470588235</v>
      </c>
      <c r="F28" s="155">
        <v>3587485</v>
      </c>
      <c r="G28" s="222">
        <f t="shared" si="7"/>
        <v>105989.26470588235</v>
      </c>
      <c r="H28" s="107">
        <v>3603635</v>
      </c>
      <c r="I28" s="107"/>
      <c r="J28" s="107"/>
      <c r="K28" s="193" t="s">
        <v>3</v>
      </c>
    </row>
    <row r="29" spans="1:13">
      <c r="A29" s="39" t="s">
        <v>65</v>
      </c>
      <c r="B29" s="24">
        <v>37</v>
      </c>
      <c r="C29" s="223">
        <f t="shared" si="9"/>
        <v>103592.36486486487</v>
      </c>
      <c r="D29" s="105">
        <v>3832917.5</v>
      </c>
      <c r="E29" s="224">
        <f t="shared" si="8"/>
        <v>104067.36486486487</v>
      </c>
      <c r="F29" s="105">
        <v>3850492.5</v>
      </c>
      <c r="G29" s="225">
        <f t="shared" si="7"/>
        <v>104542.36486486487</v>
      </c>
      <c r="H29" s="105">
        <v>3868067.5</v>
      </c>
      <c r="I29" s="105"/>
      <c r="J29" s="105"/>
      <c r="K29" s="193" t="s">
        <v>3</v>
      </c>
    </row>
    <row r="30" spans="1:13">
      <c r="A30" s="39" t="s">
        <v>65</v>
      </c>
      <c r="B30" s="24">
        <v>51.1</v>
      </c>
      <c r="C30" s="223">
        <f t="shared" si="9"/>
        <v>93175.200587084153</v>
      </c>
      <c r="D30" s="105">
        <v>4761252.75</v>
      </c>
      <c r="E30" s="224">
        <f t="shared" si="8"/>
        <v>93650.200587084153</v>
      </c>
      <c r="F30" s="105">
        <v>4785525.25</v>
      </c>
      <c r="G30" s="225">
        <f t="shared" si="7"/>
        <v>94125.200587084153</v>
      </c>
      <c r="H30" s="105">
        <v>4809797.75</v>
      </c>
      <c r="I30" s="105"/>
      <c r="J30" s="105"/>
      <c r="K30" s="193" t="s">
        <v>3</v>
      </c>
    </row>
    <row r="31" spans="1:13">
      <c r="A31" s="39" t="s">
        <v>66</v>
      </c>
      <c r="B31" s="24">
        <v>55</v>
      </c>
      <c r="C31" s="223">
        <f t="shared" si="9"/>
        <v>90720.681818181823</v>
      </c>
      <c r="D31" s="105">
        <v>4989637.5</v>
      </c>
      <c r="E31" s="224">
        <f t="shared" si="8"/>
        <v>91195.681818181823</v>
      </c>
      <c r="F31" s="105">
        <v>5015762.5</v>
      </c>
      <c r="G31" s="225">
        <f t="shared" si="7"/>
        <v>91670.681818181823</v>
      </c>
      <c r="H31" s="105">
        <v>5041887.5</v>
      </c>
      <c r="I31" s="105"/>
      <c r="J31" s="105"/>
      <c r="K31" s="193" t="s">
        <v>3</v>
      </c>
    </row>
    <row r="32" spans="1:13" ht="15.75" thickBot="1">
      <c r="A32" s="42" t="s">
        <v>65</v>
      </c>
      <c r="B32" s="237">
        <v>56.5</v>
      </c>
      <c r="C32" s="226">
        <f t="shared" si="9"/>
        <v>90858.252212389387</v>
      </c>
      <c r="D32" s="150">
        <v>5133491.25</v>
      </c>
      <c r="E32" s="227">
        <f t="shared" si="8"/>
        <v>91333.252212389387</v>
      </c>
      <c r="F32" s="106">
        <v>5160328.75</v>
      </c>
      <c r="G32" s="226">
        <f t="shared" si="7"/>
        <v>91808.252212389387</v>
      </c>
      <c r="H32" s="106">
        <v>5187166.25</v>
      </c>
      <c r="I32" s="106"/>
      <c r="J32" s="106"/>
      <c r="K32" s="194" t="s">
        <v>3</v>
      </c>
    </row>
    <row r="33" spans="1:15">
      <c r="A33" s="39" t="s">
        <v>66</v>
      </c>
      <c r="B33" s="235">
        <v>21.3</v>
      </c>
      <c r="C33" s="222">
        <f t="shared" si="9"/>
        <v>131303.29999999999</v>
      </c>
      <c r="D33" s="222">
        <v>2796760.29</v>
      </c>
      <c r="E33" s="221">
        <f t="shared" si="8"/>
        <v>131778.29999999999</v>
      </c>
      <c r="F33" s="155">
        <v>2806877.79</v>
      </c>
      <c r="G33" s="222">
        <f t="shared" si="7"/>
        <v>132253.29999999999</v>
      </c>
      <c r="H33" s="155">
        <v>2816995.29</v>
      </c>
      <c r="I33" s="155"/>
      <c r="J33" s="155"/>
      <c r="K33" s="195" t="s">
        <v>3</v>
      </c>
    </row>
    <row r="34" spans="1:15">
      <c r="A34" s="39" t="s">
        <v>67</v>
      </c>
      <c r="B34" s="24">
        <v>24.3</v>
      </c>
      <c r="C34" s="223"/>
      <c r="D34" s="107"/>
      <c r="E34" s="224">
        <f t="shared" si="8"/>
        <v>129094.62599999999</v>
      </c>
      <c r="F34" s="105">
        <v>3136999.4117999999</v>
      </c>
      <c r="G34" s="225">
        <f t="shared" si="7"/>
        <v>129569.62599999999</v>
      </c>
      <c r="H34" s="105">
        <v>3148541.9117999999</v>
      </c>
      <c r="I34" s="105"/>
      <c r="J34" s="105"/>
      <c r="K34" s="193" t="s">
        <v>3</v>
      </c>
      <c r="O34" s="34"/>
    </row>
    <row r="35" spans="1:15">
      <c r="A35" s="39" t="s">
        <v>68</v>
      </c>
      <c r="B35" s="24">
        <v>37</v>
      </c>
      <c r="C35" s="223">
        <f t="shared" si="9"/>
        <v>103592.36486486487</v>
      </c>
      <c r="D35" s="228">
        <v>3832917.5</v>
      </c>
      <c r="E35" s="224">
        <f t="shared" si="8"/>
        <v>104067.36486486487</v>
      </c>
      <c r="F35" s="105">
        <v>3850492.5</v>
      </c>
      <c r="G35" s="225">
        <f t="shared" si="7"/>
        <v>104542.36486486487</v>
      </c>
      <c r="H35" s="105">
        <v>3868067.5</v>
      </c>
      <c r="I35" s="105"/>
      <c r="J35" s="105"/>
      <c r="K35" s="193" t="s">
        <v>3</v>
      </c>
      <c r="O35" s="34"/>
    </row>
    <row r="36" spans="1:15">
      <c r="A36" s="39" t="s">
        <v>69</v>
      </c>
      <c r="B36" s="24">
        <v>37.700000000000003</v>
      </c>
      <c r="C36" s="223">
        <f t="shared" si="9"/>
        <v>103687.71220159151</v>
      </c>
      <c r="D36" s="228">
        <v>3909026.75</v>
      </c>
      <c r="E36" s="224">
        <f t="shared" si="8"/>
        <v>104162.71220159151</v>
      </c>
      <c r="F36" s="105">
        <v>3926934.25</v>
      </c>
      <c r="G36" s="225">
        <f t="shared" si="7"/>
        <v>104637.71220159151</v>
      </c>
      <c r="H36" s="105">
        <v>3944841.75</v>
      </c>
      <c r="I36" s="105"/>
      <c r="J36" s="105"/>
      <c r="K36" s="193" t="s">
        <v>3</v>
      </c>
      <c r="O36" s="34"/>
    </row>
    <row r="37" spans="1:15" ht="15.75" thickBot="1">
      <c r="A37" s="39" t="s">
        <v>68</v>
      </c>
      <c r="B37" s="238">
        <v>55</v>
      </c>
      <c r="C37" s="226">
        <f t="shared" si="9"/>
        <v>90720.681818181823</v>
      </c>
      <c r="D37" s="229">
        <v>4989637.5</v>
      </c>
      <c r="E37" s="227">
        <f t="shared" si="8"/>
        <v>91195.681818181823</v>
      </c>
      <c r="F37" s="106">
        <v>5015762.5</v>
      </c>
      <c r="G37" s="230">
        <f t="shared" si="7"/>
        <v>91670.681818181823</v>
      </c>
      <c r="H37" s="231">
        <v>5041887.5</v>
      </c>
      <c r="I37" s="231"/>
      <c r="J37" s="231"/>
      <c r="K37" s="196" t="s">
        <v>3</v>
      </c>
      <c r="O37" s="34"/>
    </row>
    <row r="38" spans="1:15" ht="15.75" thickBot="1">
      <c r="A38" s="37" t="s">
        <v>70</v>
      </c>
      <c r="B38" s="234">
        <v>64.5</v>
      </c>
      <c r="C38" s="220">
        <f t="shared" si="9"/>
        <v>82622.294573643405</v>
      </c>
      <c r="D38" s="229">
        <v>5329138</v>
      </c>
      <c r="E38" s="220">
        <f t="shared" si="8"/>
        <v>83097.28682170542</v>
      </c>
      <c r="F38" s="106">
        <v>5359775</v>
      </c>
      <c r="G38" s="218"/>
      <c r="H38" s="219"/>
      <c r="I38" s="219"/>
      <c r="J38" s="219"/>
      <c r="K38" s="190" t="s">
        <v>3</v>
      </c>
    </row>
    <row r="39" spans="1:15" ht="15.75" thickBot="1">
      <c r="A39" s="37" t="s">
        <v>71</v>
      </c>
      <c r="B39" s="234">
        <v>64.5</v>
      </c>
      <c r="C39" s="220">
        <f>D39/B39</f>
        <v>84522.294573643405</v>
      </c>
      <c r="D39" s="229">
        <v>5451688</v>
      </c>
      <c r="E39" s="220">
        <f t="shared" ref="E39" si="10">F39/B39</f>
        <v>84997.30232558139</v>
      </c>
      <c r="F39" s="106">
        <v>5482326</v>
      </c>
      <c r="G39" s="218">
        <f>H39/B39</f>
        <v>85472.294573643405</v>
      </c>
      <c r="H39" s="239">
        <v>5512963</v>
      </c>
      <c r="I39" s="219"/>
      <c r="J39" s="219"/>
      <c r="K39" s="51" t="s">
        <v>60</v>
      </c>
    </row>
    <row r="41" spans="1:15" ht="19.5" thickBot="1">
      <c r="A41" s="164" t="s">
        <v>132</v>
      </c>
      <c r="B41" s="1"/>
      <c r="C41" s="1"/>
      <c r="D41" s="1"/>
      <c r="E41" s="4"/>
      <c r="F41" s="4"/>
      <c r="G41" s="4"/>
      <c r="H41" s="4"/>
      <c r="I41" s="4"/>
      <c r="J41" s="4"/>
      <c r="K41" s="4"/>
    </row>
    <row r="42" spans="1:15" ht="45.75" thickBot="1">
      <c r="A42" s="35" t="s">
        <v>21</v>
      </c>
      <c r="B42" s="36" t="s">
        <v>54</v>
      </c>
      <c r="C42" s="36" t="s">
        <v>23</v>
      </c>
      <c r="D42" s="36" t="s">
        <v>24</v>
      </c>
      <c r="E42" s="36" t="s">
        <v>25</v>
      </c>
      <c r="F42" s="36" t="s">
        <v>24</v>
      </c>
      <c r="G42" s="36" t="s">
        <v>55</v>
      </c>
      <c r="H42" s="36" t="s">
        <v>24</v>
      </c>
      <c r="I42" s="36" t="s">
        <v>56</v>
      </c>
      <c r="J42" s="36" t="s">
        <v>24</v>
      </c>
      <c r="K42" s="50" t="s">
        <v>3</v>
      </c>
    </row>
    <row r="43" spans="1:15" ht="15.75" thickBot="1">
      <c r="A43" s="37" t="s">
        <v>57</v>
      </c>
      <c r="B43" s="234">
        <v>55.5</v>
      </c>
      <c r="C43" s="216"/>
      <c r="D43" s="216"/>
      <c r="E43" s="216"/>
      <c r="F43" s="217"/>
      <c r="G43" s="218">
        <f>H43/B43</f>
        <v>101374.78828828828</v>
      </c>
      <c r="H43" s="219">
        <v>5626300.75</v>
      </c>
      <c r="I43" s="220">
        <f>J43/B43</f>
        <v>101909.78828828828</v>
      </c>
      <c r="J43" s="219">
        <v>5655993.25</v>
      </c>
      <c r="K43" s="190" t="s">
        <v>3</v>
      </c>
    </row>
    <row r="44" spans="1:15">
      <c r="A44" s="39" t="s">
        <v>59</v>
      </c>
      <c r="B44" s="235">
        <v>21.3</v>
      </c>
      <c r="C44" s="146"/>
      <c r="D44" s="155"/>
      <c r="E44" s="221">
        <f>F44/B44</f>
        <v>151470.27000000002</v>
      </c>
      <c r="F44" s="155">
        <v>3226316.7510000006</v>
      </c>
      <c r="G44" s="222">
        <f t="shared" ref="G44:G57" si="11">H44/B44</f>
        <v>148958.98000000001</v>
      </c>
      <c r="H44" s="155">
        <v>3172826.2740000002</v>
      </c>
      <c r="I44" s="155"/>
      <c r="J44" s="155"/>
      <c r="K44" s="191" t="s">
        <v>3</v>
      </c>
    </row>
    <row r="45" spans="1:15">
      <c r="A45" s="39" t="s">
        <v>61</v>
      </c>
      <c r="B45" s="236">
        <v>37</v>
      </c>
      <c r="C45" s="223">
        <f>D45/B45</f>
        <v>116677.71621621621</v>
      </c>
      <c r="D45" s="105">
        <v>4317075.5</v>
      </c>
      <c r="E45" s="224">
        <f t="shared" ref="E45:E59" si="12">F45/B45</f>
        <v>117212.71621621621</v>
      </c>
      <c r="F45" s="105">
        <v>4336870.5</v>
      </c>
      <c r="G45" s="225">
        <f t="shared" si="11"/>
        <v>117747.71621621621</v>
      </c>
      <c r="H45" s="107">
        <v>4356665.5</v>
      </c>
      <c r="I45" s="107"/>
      <c r="J45" s="107"/>
      <c r="K45" s="191" t="s">
        <v>3</v>
      </c>
    </row>
    <row r="46" spans="1:15">
      <c r="A46" s="39" t="s">
        <v>62</v>
      </c>
      <c r="B46" s="236">
        <v>55</v>
      </c>
      <c r="C46" s="223">
        <f t="shared" ref="C46:C53" si="13">D46/B46</f>
        <v>103152.76636363637</v>
      </c>
      <c r="D46" s="105">
        <v>5673402.1500000004</v>
      </c>
      <c r="E46" s="224">
        <f t="shared" si="12"/>
        <v>103687.76636363637</v>
      </c>
      <c r="F46" s="105">
        <v>5702827.1500000004</v>
      </c>
      <c r="G46" s="225">
        <f t="shared" si="11"/>
        <v>103250.13636363637</v>
      </c>
      <c r="H46" s="107">
        <v>5678757.5</v>
      </c>
      <c r="I46" s="107"/>
      <c r="J46" s="107"/>
      <c r="K46" s="191" t="s">
        <v>3</v>
      </c>
    </row>
    <row r="47" spans="1:15" ht="15.75" thickBot="1">
      <c r="A47" s="42" t="s">
        <v>63</v>
      </c>
      <c r="B47" s="237">
        <v>64.8</v>
      </c>
      <c r="C47" s="226">
        <f t="shared" si="13"/>
        <v>93081.8362962963</v>
      </c>
      <c r="D47" s="150">
        <v>6031702.9919999996</v>
      </c>
      <c r="E47" s="227">
        <f t="shared" si="12"/>
        <v>93616.8362962963</v>
      </c>
      <c r="F47" s="106">
        <v>6066370.9919999996</v>
      </c>
      <c r="G47" s="227">
        <f t="shared" si="11"/>
        <v>93325.796296296307</v>
      </c>
      <c r="H47" s="106">
        <v>6047511.6000000006</v>
      </c>
      <c r="I47" s="150"/>
      <c r="J47" s="106"/>
      <c r="K47" s="192" t="s">
        <v>3</v>
      </c>
    </row>
    <row r="48" spans="1:15">
      <c r="A48" s="39" t="s">
        <v>65</v>
      </c>
      <c r="B48" s="24">
        <v>34</v>
      </c>
      <c r="C48" s="223">
        <f t="shared" si="13"/>
        <v>118307.38235294119</v>
      </c>
      <c r="D48" s="107">
        <v>4022451.0000000005</v>
      </c>
      <c r="E48" s="221">
        <f t="shared" si="12"/>
        <v>118842.38235294119</v>
      </c>
      <c r="F48" s="155">
        <v>4040641.0000000005</v>
      </c>
      <c r="G48" s="222">
        <f t="shared" si="11"/>
        <v>119377.38235294119</v>
      </c>
      <c r="H48" s="107">
        <v>4058831.0000000005</v>
      </c>
      <c r="I48" s="107"/>
      <c r="J48" s="107"/>
      <c r="K48" s="193" t="s">
        <v>3</v>
      </c>
    </row>
    <row r="49" spans="1:11">
      <c r="A49" s="39" t="s">
        <v>65</v>
      </c>
      <c r="B49" s="24">
        <v>37</v>
      </c>
      <c r="C49" s="223">
        <f t="shared" si="13"/>
        <v>116677.71621621621</v>
      </c>
      <c r="D49" s="105">
        <v>4317075.5</v>
      </c>
      <c r="E49" s="224">
        <f t="shared" si="12"/>
        <v>117212.71621621621</v>
      </c>
      <c r="F49" s="105">
        <v>4336870.5</v>
      </c>
      <c r="G49" s="225">
        <f t="shared" si="11"/>
        <v>117747.71621621621</v>
      </c>
      <c r="H49" s="105">
        <v>4356665.5</v>
      </c>
      <c r="I49" s="105"/>
      <c r="J49" s="105"/>
      <c r="K49" s="193" t="s">
        <v>3</v>
      </c>
    </row>
    <row r="50" spans="1:11">
      <c r="A50" s="39" t="s">
        <v>66</v>
      </c>
      <c r="B50" s="24">
        <v>51.1</v>
      </c>
      <c r="C50" s="223">
        <f t="shared" si="13"/>
        <v>104944.69960861058</v>
      </c>
      <c r="D50" s="105">
        <v>5362674.1500000004</v>
      </c>
      <c r="E50" s="224">
        <f t="shared" si="12"/>
        <v>105479.69960861056</v>
      </c>
      <c r="F50" s="105">
        <v>5390012.6500000004</v>
      </c>
      <c r="G50" s="225">
        <f t="shared" si="11"/>
        <v>106014.69960861056</v>
      </c>
      <c r="H50" s="105">
        <v>5417351.1500000004</v>
      </c>
      <c r="I50" s="105"/>
      <c r="J50" s="105"/>
      <c r="K50" s="193" t="s">
        <v>3</v>
      </c>
    </row>
    <row r="51" spans="1:11">
      <c r="A51" s="39" t="s">
        <v>65</v>
      </c>
      <c r="B51" s="24">
        <v>55</v>
      </c>
      <c r="C51" s="223">
        <f t="shared" si="13"/>
        <v>102180.13636363637</v>
      </c>
      <c r="D51" s="105">
        <v>5619907.5</v>
      </c>
      <c r="E51" s="224">
        <f t="shared" si="12"/>
        <v>102715.13636363637</v>
      </c>
      <c r="F51" s="105">
        <v>5649332.5</v>
      </c>
      <c r="G51" s="225">
        <f t="shared" si="11"/>
        <v>103250.13636363637</v>
      </c>
      <c r="H51" s="105">
        <v>5678757.5</v>
      </c>
      <c r="I51" s="105"/>
      <c r="J51" s="105"/>
      <c r="K51" s="193" t="s">
        <v>3</v>
      </c>
    </row>
    <row r="52" spans="1:11" ht="15.75" thickBot="1">
      <c r="A52" s="46" t="s">
        <v>66</v>
      </c>
      <c r="B52" s="237">
        <v>56.5</v>
      </c>
      <c r="C52" s="226">
        <f t="shared" si="13"/>
        <v>102335.08407079647</v>
      </c>
      <c r="D52" s="150">
        <v>5781932.25</v>
      </c>
      <c r="E52" s="227">
        <f t="shared" si="12"/>
        <v>102870.08407079647</v>
      </c>
      <c r="F52" s="106">
        <v>5812159.75</v>
      </c>
      <c r="G52" s="226">
        <f t="shared" si="11"/>
        <v>103405.08407079647</v>
      </c>
      <c r="H52" s="106">
        <v>5842387.25</v>
      </c>
      <c r="I52" s="106"/>
      <c r="J52" s="106"/>
      <c r="K52" s="194" t="s">
        <v>3</v>
      </c>
    </row>
    <row r="53" spans="1:11">
      <c r="A53" s="44" t="s">
        <v>67</v>
      </c>
      <c r="B53" s="235">
        <v>21.3</v>
      </c>
      <c r="C53" s="222">
        <f t="shared" si="13"/>
        <v>147888.98000000001</v>
      </c>
      <c r="D53" s="222">
        <v>3150035.2740000002</v>
      </c>
      <c r="E53" s="221">
        <f t="shared" si="12"/>
        <v>148423.98000000001</v>
      </c>
      <c r="F53" s="155">
        <v>3161430.7740000002</v>
      </c>
      <c r="G53" s="222">
        <f t="shared" si="11"/>
        <v>148958.98000000001</v>
      </c>
      <c r="H53" s="155">
        <v>3172826.2740000002</v>
      </c>
      <c r="I53" s="155"/>
      <c r="J53" s="155"/>
      <c r="K53" s="195" t="s">
        <v>3</v>
      </c>
    </row>
    <row r="54" spans="1:11">
      <c r="A54" s="39" t="s">
        <v>68</v>
      </c>
      <c r="B54" s="24">
        <v>24.3</v>
      </c>
      <c r="C54" s="223"/>
      <c r="D54" s="107"/>
      <c r="E54" s="224">
        <f t="shared" si="12"/>
        <v>145401.3156</v>
      </c>
      <c r="F54" s="105">
        <v>3533251.9690800002</v>
      </c>
      <c r="G54" s="225">
        <f t="shared" si="11"/>
        <v>145936.3156</v>
      </c>
      <c r="H54" s="105">
        <v>3546252.4690800002</v>
      </c>
      <c r="I54" s="105"/>
      <c r="J54" s="105"/>
      <c r="K54" s="193" t="s">
        <v>3</v>
      </c>
    </row>
    <row r="55" spans="1:11">
      <c r="A55" s="39" t="s">
        <v>69</v>
      </c>
      <c r="B55" s="24">
        <v>37</v>
      </c>
      <c r="C55" s="223">
        <f t="shared" ref="C55:C59" si="14">D55/B55</f>
        <v>116677.71621621621</v>
      </c>
      <c r="D55" s="228">
        <v>4317075.5</v>
      </c>
      <c r="E55" s="224">
        <f t="shared" si="12"/>
        <v>117212.71621621621</v>
      </c>
      <c r="F55" s="105">
        <v>4336870.5</v>
      </c>
      <c r="G55" s="225">
        <f t="shared" si="11"/>
        <v>117747.71621621621</v>
      </c>
      <c r="H55" s="105">
        <v>4356665.5</v>
      </c>
      <c r="I55" s="105"/>
      <c r="J55" s="105"/>
      <c r="K55" s="193" t="s">
        <v>3</v>
      </c>
    </row>
    <row r="56" spans="1:11">
      <c r="A56" s="39" t="s">
        <v>68</v>
      </c>
      <c r="B56" s="24">
        <v>37.700000000000003</v>
      </c>
      <c r="C56" s="223">
        <f t="shared" si="14"/>
        <v>116785.10742705569</v>
      </c>
      <c r="D56" s="228">
        <v>4402798.55</v>
      </c>
      <c r="E56" s="224">
        <f t="shared" si="12"/>
        <v>117320.10742705569</v>
      </c>
      <c r="F56" s="105">
        <v>4422968.05</v>
      </c>
      <c r="G56" s="225">
        <f t="shared" si="11"/>
        <v>117855.10742705569</v>
      </c>
      <c r="H56" s="105">
        <v>4443137.55</v>
      </c>
      <c r="I56" s="105"/>
      <c r="J56" s="105"/>
      <c r="K56" s="193" t="s">
        <v>3</v>
      </c>
    </row>
    <row r="57" spans="1:11" ht="15.75" thickBot="1">
      <c r="A57" s="48" t="s">
        <v>69</v>
      </c>
      <c r="B57" s="238">
        <v>55</v>
      </c>
      <c r="C57" s="226">
        <f t="shared" si="14"/>
        <v>102180.13636363637</v>
      </c>
      <c r="D57" s="229">
        <v>5619907.5</v>
      </c>
      <c r="E57" s="227">
        <f t="shared" si="12"/>
        <v>102715.13636363637</v>
      </c>
      <c r="F57" s="106">
        <v>5649332.5</v>
      </c>
      <c r="G57" s="230">
        <f t="shared" si="11"/>
        <v>103250.13636363637</v>
      </c>
      <c r="H57" s="231">
        <v>5678757.5</v>
      </c>
      <c r="I57" s="231"/>
      <c r="J57" s="231"/>
      <c r="K57" s="196" t="s">
        <v>3</v>
      </c>
    </row>
    <row r="58" spans="1:11" ht="15.75" thickBot="1">
      <c r="A58" s="37" t="s">
        <v>70</v>
      </c>
      <c r="B58" s="234">
        <v>64.5</v>
      </c>
      <c r="C58" s="220">
        <f t="shared" si="14"/>
        <v>93058.795813953489</v>
      </c>
      <c r="D58" s="219">
        <v>6002292.3300000001</v>
      </c>
      <c r="E58" s="220">
        <f t="shared" si="12"/>
        <v>93593.795813953489</v>
      </c>
      <c r="F58" s="162">
        <v>6036799.8300000001</v>
      </c>
      <c r="G58" s="218"/>
      <c r="H58" s="219"/>
      <c r="I58" s="219"/>
      <c r="J58" s="219"/>
      <c r="K58" s="190" t="s">
        <v>3</v>
      </c>
    </row>
    <row r="59" spans="1:11" ht="15.75" thickBot="1">
      <c r="A59" s="37" t="s">
        <v>71</v>
      </c>
      <c r="B59" s="234">
        <v>64.5</v>
      </c>
      <c r="C59" s="220">
        <f t="shared" si="14"/>
        <v>95198.795813953489</v>
      </c>
      <c r="D59" s="219">
        <v>6140322.3300000001</v>
      </c>
      <c r="E59" s="220">
        <f t="shared" si="12"/>
        <v>95733.795813953489</v>
      </c>
      <c r="F59" s="219">
        <v>6174829.8300000001</v>
      </c>
      <c r="G59" s="218">
        <f t="shared" ref="G59" si="15">H59/B59</f>
        <v>96268.795813953489</v>
      </c>
      <c r="H59" s="219">
        <v>6209337.3300000001</v>
      </c>
      <c r="I59" s="219"/>
      <c r="J59" s="219"/>
      <c r="K59" s="190" t="s">
        <v>3</v>
      </c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9"/>
  <sheetViews>
    <sheetView topLeftCell="A13" zoomScale="90" zoomScaleNormal="90" workbookViewId="0">
      <selection activeCell="C23" sqref="C23:F23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3" customWidth="1"/>
    <col min="14" max="14" width="8.85546875" customWidth="1"/>
    <col min="16" max="16" width="8.85546875" customWidth="1"/>
  </cols>
  <sheetData>
    <row r="1" spans="1:13" s="1" customFormat="1" ht="18.75">
      <c r="A1" s="164" t="s">
        <v>130</v>
      </c>
      <c r="E1" s="4"/>
      <c r="F1" s="4"/>
      <c r="G1" s="4"/>
      <c r="H1" s="4"/>
      <c r="I1" s="4"/>
      <c r="J1" s="4"/>
      <c r="K1" s="4"/>
    </row>
    <row r="2" spans="1:13" ht="46.5" customHeight="1">
      <c r="A2" s="35" t="s">
        <v>21</v>
      </c>
      <c r="B2" s="36" t="s">
        <v>54</v>
      </c>
      <c r="C2" s="36" t="s">
        <v>23</v>
      </c>
      <c r="D2" s="36" t="s">
        <v>24</v>
      </c>
      <c r="E2" s="36" t="s">
        <v>25</v>
      </c>
      <c r="F2" s="36" t="s">
        <v>24</v>
      </c>
      <c r="G2" s="36" t="s">
        <v>55</v>
      </c>
      <c r="H2" s="36" t="s">
        <v>24</v>
      </c>
      <c r="I2" s="36" t="s">
        <v>56</v>
      </c>
      <c r="J2" s="36" t="s">
        <v>24</v>
      </c>
      <c r="K2" s="50" t="s">
        <v>3</v>
      </c>
    </row>
    <row r="3" spans="1:13">
      <c r="A3" s="37" t="s">
        <v>57</v>
      </c>
      <c r="B3" s="38">
        <v>55.5</v>
      </c>
      <c r="C3" s="165"/>
      <c r="D3" s="166"/>
      <c r="E3" s="165"/>
      <c r="F3" s="167"/>
      <c r="G3" s="165">
        <v>101950</v>
      </c>
      <c r="H3" s="167">
        <f t="shared" ref="H3:H5" si="0">G3*B3</f>
        <v>5658225</v>
      </c>
      <c r="I3" s="168">
        <v>102450</v>
      </c>
      <c r="J3" s="167">
        <f t="shared" ref="J3" si="1">I3*B3</f>
        <v>5685975</v>
      </c>
      <c r="K3" s="51" t="s">
        <v>58</v>
      </c>
    </row>
    <row r="4" spans="1:13">
      <c r="A4" s="39" t="s">
        <v>59</v>
      </c>
      <c r="B4" s="40">
        <v>21.3</v>
      </c>
      <c r="C4" s="169"/>
      <c r="D4" s="170"/>
      <c r="E4" s="171">
        <v>141561</v>
      </c>
      <c r="F4" s="172">
        <f t="shared" ref="F4:F19" si="2">E4*B4</f>
        <v>3015249.3000000003</v>
      </c>
      <c r="G4" s="171">
        <v>139214</v>
      </c>
      <c r="H4" s="172">
        <f t="shared" si="0"/>
        <v>2965258.2</v>
      </c>
      <c r="I4" s="172"/>
      <c r="J4" s="172"/>
      <c r="K4" s="52" t="s">
        <v>60</v>
      </c>
    </row>
    <row r="5" spans="1:13">
      <c r="A5" s="39" t="s">
        <v>61</v>
      </c>
      <c r="B5" s="41">
        <v>37</v>
      </c>
      <c r="C5" s="173">
        <v>114450</v>
      </c>
      <c r="D5" s="174">
        <f t="shared" ref="D5:D13" si="3">C5*B5</f>
        <v>4234650</v>
      </c>
      <c r="E5" s="173">
        <v>114950</v>
      </c>
      <c r="F5" s="174">
        <f t="shared" si="2"/>
        <v>4253150</v>
      </c>
      <c r="G5" s="173">
        <v>115450</v>
      </c>
      <c r="H5" s="175">
        <f t="shared" si="0"/>
        <v>4271650</v>
      </c>
      <c r="I5" s="175"/>
      <c r="J5" s="175"/>
      <c r="K5" s="52" t="s">
        <v>60</v>
      </c>
    </row>
    <row r="6" spans="1:13">
      <c r="A6" s="39" t="s">
        <v>62</v>
      </c>
      <c r="B6" s="41">
        <v>55</v>
      </c>
      <c r="C6" s="176">
        <v>101859</v>
      </c>
      <c r="D6" s="174">
        <f t="shared" si="3"/>
        <v>5602245</v>
      </c>
      <c r="E6" s="176">
        <v>102359</v>
      </c>
      <c r="F6" s="174">
        <f t="shared" si="2"/>
        <v>5629745</v>
      </c>
      <c r="G6" s="176">
        <v>101950</v>
      </c>
      <c r="H6" s="175">
        <f t="shared" ref="H6" si="4">G6*B6</f>
        <v>5607250</v>
      </c>
      <c r="I6" s="175"/>
      <c r="J6" s="175"/>
      <c r="K6" s="52" t="s">
        <v>60</v>
      </c>
    </row>
    <row r="7" spans="1:13" ht="15.75" thickBot="1">
      <c r="A7" s="42" t="s">
        <v>63</v>
      </c>
      <c r="B7" s="43">
        <v>64.8</v>
      </c>
      <c r="C7" s="177">
        <v>91622</v>
      </c>
      <c r="D7" s="178">
        <f t="shared" si="3"/>
        <v>5937105.5999999996</v>
      </c>
      <c r="E7" s="177">
        <v>92122</v>
      </c>
      <c r="F7" s="179">
        <f t="shared" si="2"/>
        <v>5969505.5999999996</v>
      </c>
      <c r="G7" s="177">
        <v>91850</v>
      </c>
      <c r="H7" s="180">
        <f t="shared" ref="H7:H9" si="5">G7*B7</f>
        <v>5951880</v>
      </c>
      <c r="I7" s="181"/>
      <c r="J7" s="180"/>
      <c r="K7" s="53" t="s">
        <v>60</v>
      </c>
    </row>
    <row r="8" spans="1:13">
      <c r="A8" s="39" t="s">
        <v>65</v>
      </c>
      <c r="B8" s="45">
        <v>34</v>
      </c>
      <c r="C8" s="183">
        <v>116450</v>
      </c>
      <c r="D8" s="174">
        <f t="shared" si="3"/>
        <v>3959300</v>
      </c>
      <c r="E8" s="183">
        <v>116950</v>
      </c>
      <c r="F8" s="174">
        <f t="shared" si="2"/>
        <v>3976300</v>
      </c>
      <c r="G8" s="183">
        <v>117450</v>
      </c>
      <c r="H8" s="174">
        <f t="shared" si="5"/>
        <v>3993300</v>
      </c>
      <c r="I8" s="174"/>
      <c r="J8" s="174"/>
      <c r="K8" s="55" t="s">
        <v>58</v>
      </c>
    </row>
    <row r="9" spans="1:13">
      <c r="A9" s="39" t="s">
        <v>65</v>
      </c>
      <c r="B9" s="45">
        <v>37</v>
      </c>
      <c r="C9" s="183">
        <v>114450</v>
      </c>
      <c r="D9" s="174">
        <f t="shared" si="3"/>
        <v>4234650</v>
      </c>
      <c r="E9" s="183">
        <v>114950</v>
      </c>
      <c r="F9" s="174">
        <f t="shared" si="2"/>
        <v>4253150</v>
      </c>
      <c r="G9" s="183">
        <v>115450</v>
      </c>
      <c r="H9" s="174">
        <f t="shared" si="5"/>
        <v>4271650</v>
      </c>
      <c r="I9" s="174"/>
      <c r="J9" s="174"/>
      <c r="K9" s="55" t="s">
        <v>58</v>
      </c>
    </row>
    <row r="10" spans="1:13">
      <c r="A10" s="39" t="s">
        <v>66</v>
      </c>
      <c r="B10" s="45">
        <v>51.1</v>
      </c>
      <c r="C10" s="183">
        <v>103950</v>
      </c>
      <c r="D10" s="174">
        <f t="shared" si="3"/>
        <v>5311845</v>
      </c>
      <c r="E10" s="183">
        <v>104450</v>
      </c>
      <c r="F10" s="174">
        <f t="shared" si="2"/>
        <v>5337395</v>
      </c>
      <c r="G10" s="183">
        <v>104950</v>
      </c>
      <c r="H10" s="174">
        <f t="shared" ref="H10:H11" si="6">G10*B10</f>
        <v>5362945</v>
      </c>
      <c r="I10" s="174"/>
      <c r="J10" s="174"/>
      <c r="K10" s="55" t="s">
        <v>58</v>
      </c>
    </row>
    <row r="11" spans="1:13">
      <c r="A11" s="39" t="s">
        <v>65</v>
      </c>
      <c r="B11" s="45">
        <v>55</v>
      </c>
      <c r="C11" s="183">
        <v>100950</v>
      </c>
      <c r="D11" s="174">
        <f t="shared" si="3"/>
        <v>5552250</v>
      </c>
      <c r="E11" s="183">
        <v>101450</v>
      </c>
      <c r="F11" s="174">
        <f t="shared" si="2"/>
        <v>5579750</v>
      </c>
      <c r="G11" s="183">
        <v>101950</v>
      </c>
      <c r="H11" s="174">
        <f t="shared" si="6"/>
        <v>5607250</v>
      </c>
      <c r="I11" s="174"/>
      <c r="J11" s="174"/>
      <c r="K11" s="55" t="s">
        <v>58</v>
      </c>
    </row>
    <row r="12" spans="1:13">
      <c r="A12" s="46" t="s">
        <v>66</v>
      </c>
      <c r="B12" s="47">
        <v>56.5</v>
      </c>
      <c r="C12" s="184">
        <v>100950</v>
      </c>
      <c r="D12" s="178">
        <f t="shared" si="3"/>
        <v>5703675</v>
      </c>
      <c r="E12" s="177">
        <v>101450</v>
      </c>
      <c r="F12" s="179">
        <f t="shared" si="2"/>
        <v>5731925</v>
      </c>
      <c r="G12" s="177">
        <v>101950</v>
      </c>
      <c r="H12" s="180">
        <f t="shared" ref="H12:H17" si="7">G12*B12</f>
        <v>5760175</v>
      </c>
      <c r="I12" s="185"/>
      <c r="J12" s="185"/>
      <c r="K12" s="56" t="s">
        <v>58</v>
      </c>
    </row>
    <row r="13" spans="1:13">
      <c r="A13" s="44" t="s">
        <v>67</v>
      </c>
      <c r="B13" s="40">
        <v>21.3</v>
      </c>
      <c r="C13" s="182">
        <f>E13-500</f>
        <v>138214</v>
      </c>
      <c r="D13" s="182">
        <f t="shared" si="3"/>
        <v>2943958.2</v>
      </c>
      <c r="E13" s="182">
        <f>G13-500</f>
        <v>138714</v>
      </c>
      <c r="F13" s="172">
        <f t="shared" si="2"/>
        <v>2954608.2</v>
      </c>
      <c r="G13" s="182">
        <v>139214</v>
      </c>
      <c r="H13" s="172">
        <f t="shared" si="7"/>
        <v>2965258.2</v>
      </c>
      <c r="I13" s="172"/>
      <c r="J13" s="172"/>
      <c r="K13" s="54" t="s">
        <v>60</v>
      </c>
      <c r="M13" s="34"/>
    </row>
    <row r="14" spans="1:13">
      <c r="A14" s="39" t="s">
        <v>68</v>
      </c>
      <c r="B14" s="45">
        <v>24.3</v>
      </c>
      <c r="C14" s="174"/>
      <c r="D14" s="174"/>
      <c r="E14" s="183">
        <f>G14-500</f>
        <v>135889.07999999999</v>
      </c>
      <c r="F14" s="174">
        <f t="shared" si="2"/>
        <v>3302104.6439999999</v>
      </c>
      <c r="G14" s="183">
        <v>136389.07999999999</v>
      </c>
      <c r="H14" s="174">
        <f t="shared" si="7"/>
        <v>3314254.6439999999</v>
      </c>
      <c r="I14" s="174"/>
      <c r="J14" s="174"/>
      <c r="K14" s="55" t="s">
        <v>60</v>
      </c>
      <c r="M14" s="34"/>
    </row>
    <row r="15" spans="1:13">
      <c r="A15" s="39" t="s">
        <v>69</v>
      </c>
      <c r="B15" s="45">
        <v>37</v>
      </c>
      <c r="C15" s="183">
        <f>E15-500</f>
        <v>114450</v>
      </c>
      <c r="D15" s="183">
        <f>C15*B15</f>
        <v>4234650</v>
      </c>
      <c r="E15" s="183">
        <f>G15-500</f>
        <v>114950</v>
      </c>
      <c r="F15" s="174">
        <f t="shared" si="2"/>
        <v>4253150</v>
      </c>
      <c r="G15" s="183">
        <v>115450</v>
      </c>
      <c r="H15" s="174">
        <f t="shared" si="7"/>
        <v>4271650</v>
      </c>
      <c r="I15" s="174"/>
      <c r="J15" s="174"/>
      <c r="K15" s="55" t="s">
        <v>60</v>
      </c>
      <c r="L15" s="57"/>
      <c r="M15" s="34"/>
    </row>
    <row r="16" spans="1:13">
      <c r="A16" s="39" t="s">
        <v>68</v>
      </c>
      <c r="B16" s="45">
        <v>37.700000000000003</v>
      </c>
      <c r="C16" s="183">
        <f>E16-500</f>
        <v>114450</v>
      </c>
      <c r="D16" s="183">
        <f t="shared" ref="D16:D19" si="8">C16*B16</f>
        <v>4314765</v>
      </c>
      <c r="E16" s="183">
        <f>G16-500</f>
        <v>114950</v>
      </c>
      <c r="F16" s="174">
        <f t="shared" si="2"/>
        <v>4333615</v>
      </c>
      <c r="G16" s="183">
        <v>115450</v>
      </c>
      <c r="H16" s="174">
        <f t="shared" si="7"/>
        <v>4352465</v>
      </c>
      <c r="I16" s="174"/>
      <c r="J16" s="174"/>
      <c r="K16" s="55" t="s">
        <v>60</v>
      </c>
      <c r="L16" s="57"/>
      <c r="M16" s="34"/>
    </row>
    <row r="17" spans="1:13">
      <c r="A17" s="48" t="s">
        <v>69</v>
      </c>
      <c r="B17" s="49">
        <v>55</v>
      </c>
      <c r="C17" s="186">
        <f>E17-500</f>
        <v>100950</v>
      </c>
      <c r="D17" s="183">
        <f t="shared" si="8"/>
        <v>5552250</v>
      </c>
      <c r="E17" s="186">
        <f>G17-500</f>
        <v>101450</v>
      </c>
      <c r="F17" s="187">
        <f t="shared" si="2"/>
        <v>5579750</v>
      </c>
      <c r="G17" s="186">
        <v>101950</v>
      </c>
      <c r="H17" s="187">
        <f t="shared" si="7"/>
        <v>5607250</v>
      </c>
      <c r="I17" s="187"/>
      <c r="J17" s="187"/>
      <c r="K17" s="58" t="s">
        <v>60</v>
      </c>
      <c r="L17" s="57"/>
      <c r="M17" s="34"/>
    </row>
    <row r="18" spans="1:13">
      <c r="A18" s="37" t="s">
        <v>70</v>
      </c>
      <c r="B18" s="38">
        <v>64.5</v>
      </c>
      <c r="C18" s="168">
        <f>91622</f>
        <v>91622</v>
      </c>
      <c r="D18" s="167">
        <f t="shared" si="8"/>
        <v>5909619</v>
      </c>
      <c r="E18" s="168">
        <v>92122</v>
      </c>
      <c r="F18" s="167">
        <f t="shared" si="2"/>
        <v>5941869</v>
      </c>
      <c r="G18" s="188"/>
      <c r="H18" s="188"/>
      <c r="I18" s="188"/>
      <c r="J18" s="188"/>
      <c r="K18" s="51" t="s">
        <v>60</v>
      </c>
    </row>
    <row r="19" spans="1:13" ht="15.75" thickBot="1">
      <c r="A19" s="37" t="s">
        <v>71</v>
      </c>
      <c r="B19" s="38">
        <v>64.5</v>
      </c>
      <c r="C19" s="168">
        <f>91622+2000</f>
        <v>93622</v>
      </c>
      <c r="D19" s="167">
        <f t="shared" si="8"/>
        <v>6038619</v>
      </c>
      <c r="E19" s="168">
        <f>92122+2000</f>
        <v>94122</v>
      </c>
      <c r="F19" s="167">
        <f t="shared" si="2"/>
        <v>6070869</v>
      </c>
      <c r="G19" s="189">
        <f>94122+500</f>
        <v>94622</v>
      </c>
      <c r="H19" s="188">
        <f>G19*B19</f>
        <v>6103119</v>
      </c>
      <c r="I19" s="188"/>
      <c r="J19" s="188"/>
      <c r="K19" s="51" t="s">
        <v>60</v>
      </c>
    </row>
    <row r="21" spans="1:13" ht="18.75">
      <c r="A21" s="164" t="s">
        <v>131</v>
      </c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3" ht="45">
      <c r="A22" s="35" t="s">
        <v>21</v>
      </c>
      <c r="B22" s="36" t="s">
        <v>54</v>
      </c>
      <c r="C22" s="36" t="s">
        <v>23</v>
      </c>
      <c r="D22" s="36" t="s">
        <v>24</v>
      </c>
      <c r="E22" s="36" t="s">
        <v>25</v>
      </c>
      <c r="F22" s="36" t="s">
        <v>24</v>
      </c>
      <c r="G22" s="36" t="s">
        <v>55</v>
      </c>
      <c r="H22" s="36" t="s">
        <v>24</v>
      </c>
      <c r="I22" s="36" t="s">
        <v>56</v>
      </c>
      <c r="J22" s="36" t="s">
        <v>24</v>
      </c>
      <c r="K22" s="50" t="s">
        <v>3</v>
      </c>
    </row>
    <row r="23" spans="1:13">
      <c r="A23" s="37" t="s">
        <v>57</v>
      </c>
      <c r="B23" s="38">
        <v>55.5</v>
      </c>
      <c r="C23" s="165"/>
      <c r="D23" s="166"/>
      <c r="E23" s="165"/>
      <c r="F23" s="167"/>
      <c r="G23" s="165">
        <f>H23/B23</f>
        <v>96852.5</v>
      </c>
      <c r="H23" s="167">
        <v>5375313.75</v>
      </c>
      <c r="I23" s="168">
        <f>J23/B23</f>
        <v>97327.5</v>
      </c>
      <c r="J23" s="167">
        <v>5401676.25</v>
      </c>
      <c r="K23" s="51" t="s">
        <v>58</v>
      </c>
    </row>
    <row r="24" spans="1:13">
      <c r="A24" s="39" t="s">
        <v>59</v>
      </c>
      <c r="B24" s="40">
        <v>21.3</v>
      </c>
      <c r="C24" s="169"/>
      <c r="D24" s="170"/>
      <c r="E24" s="171">
        <f t="shared" ref="E24:E32" si="9">F24/B24</f>
        <v>134482.94999999998</v>
      </c>
      <c r="F24" s="172">
        <v>2864486.835</v>
      </c>
      <c r="G24" s="171">
        <f t="shared" ref="G24:G37" si="10">H24/B24</f>
        <v>132253.29999999999</v>
      </c>
      <c r="H24" s="172">
        <v>2816995.29</v>
      </c>
      <c r="I24" s="172"/>
      <c r="J24" s="172"/>
      <c r="K24" s="52" t="s">
        <v>60</v>
      </c>
    </row>
    <row r="25" spans="1:13">
      <c r="A25" s="39" t="s">
        <v>61</v>
      </c>
      <c r="B25" s="41">
        <v>37</v>
      </c>
      <c r="C25" s="173">
        <f t="shared" ref="C25:C33" si="11">D25/B25</f>
        <v>108727.5</v>
      </c>
      <c r="D25" s="174">
        <v>4022917.5</v>
      </c>
      <c r="E25" s="173">
        <f t="shared" si="9"/>
        <v>109202.5</v>
      </c>
      <c r="F25" s="174">
        <v>4040492.5</v>
      </c>
      <c r="G25" s="173">
        <f t="shared" si="10"/>
        <v>109677.5</v>
      </c>
      <c r="H25" s="175">
        <v>4058067.5</v>
      </c>
      <c r="I25" s="175"/>
      <c r="J25" s="175"/>
      <c r="K25" s="52" t="s">
        <v>60</v>
      </c>
    </row>
    <row r="26" spans="1:13">
      <c r="A26" s="39" t="s">
        <v>62</v>
      </c>
      <c r="B26" s="41">
        <v>55</v>
      </c>
      <c r="C26" s="176">
        <f t="shared" si="11"/>
        <v>96766.05</v>
      </c>
      <c r="D26" s="174">
        <v>5322132.75</v>
      </c>
      <c r="E26" s="176">
        <f t="shared" si="9"/>
        <v>97241.05</v>
      </c>
      <c r="F26" s="174">
        <v>5348257.75</v>
      </c>
      <c r="G26" s="176">
        <f t="shared" si="10"/>
        <v>96852.5</v>
      </c>
      <c r="H26" s="175">
        <v>5326887.5</v>
      </c>
      <c r="I26" s="175"/>
      <c r="J26" s="175"/>
      <c r="K26" s="52" t="s">
        <v>60</v>
      </c>
    </row>
    <row r="27" spans="1:13" ht="15.75" thickBot="1">
      <c r="A27" s="42" t="s">
        <v>63</v>
      </c>
      <c r="B27" s="43">
        <v>64.8</v>
      </c>
      <c r="C27" s="177">
        <f t="shared" si="11"/>
        <v>87040.900000000009</v>
      </c>
      <c r="D27" s="178">
        <v>5640250.3200000003</v>
      </c>
      <c r="E27" s="177">
        <f t="shared" si="9"/>
        <v>87515.900000000009</v>
      </c>
      <c r="F27" s="179">
        <v>5671030.3200000003</v>
      </c>
      <c r="G27" s="177">
        <f t="shared" si="10"/>
        <v>87257.5</v>
      </c>
      <c r="H27" s="180">
        <v>5654286</v>
      </c>
      <c r="I27" s="181"/>
      <c r="J27" s="180"/>
      <c r="K27" s="53" t="s">
        <v>60</v>
      </c>
    </row>
    <row r="28" spans="1:13">
      <c r="A28" s="39" t="s">
        <v>65</v>
      </c>
      <c r="B28" s="45">
        <v>34</v>
      </c>
      <c r="C28" s="183">
        <f t="shared" si="11"/>
        <v>110627.5</v>
      </c>
      <c r="D28" s="174">
        <v>3761335</v>
      </c>
      <c r="E28" s="183">
        <f t="shared" si="9"/>
        <v>111102.5</v>
      </c>
      <c r="F28" s="174">
        <v>3777485</v>
      </c>
      <c r="G28" s="183">
        <f t="shared" si="10"/>
        <v>111577.5</v>
      </c>
      <c r="H28" s="174">
        <v>3793635</v>
      </c>
      <c r="I28" s="174"/>
      <c r="J28" s="174"/>
      <c r="K28" s="55" t="s">
        <v>58</v>
      </c>
    </row>
    <row r="29" spans="1:13">
      <c r="A29" s="39" t="s">
        <v>65</v>
      </c>
      <c r="B29" s="45">
        <v>37</v>
      </c>
      <c r="C29" s="183">
        <f t="shared" si="11"/>
        <v>108727.5</v>
      </c>
      <c r="D29" s="174">
        <v>4022917.5</v>
      </c>
      <c r="E29" s="183">
        <f t="shared" si="9"/>
        <v>109202.5</v>
      </c>
      <c r="F29" s="174">
        <v>4040492.5</v>
      </c>
      <c r="G29" s="183">
        <f t="shared" si="10"/>
        <v>109677.5</v>
      </c>
      <c r="H29" s="174">
        <v>4058067.5</v>
      </c>
      <c r="I29" s="174"/>
      <c r="J29" s="174"/>
      <c r="K29" s="55" t="s">
        <v>58</v>
      </c>
    </row>
    <row r="30" spans="1:13">
      <c r="A30" s="39" t="s">
        <v>66</v>
      </c>
      <c r="B30" s="45">
        <v>51.1</v>
      </c>
      <c r="C30" s="183">
        <f t="shared" si="11"/>
        <v>98752.5</v>
      </c>
      <c r="D30" s="174">
        <v>5046252.75</v>
      </c>
      <c r="E30" s="183">
        <f t="shared" si="9"/>
        <v>99227.5</v>
      </c>
      <c r="F30" s="174">
        <v>5070525.25</v>
      </c>
      <c r="G30" s="183">
        <f t="shared" si="10"/>
        <v>99702.5</v>
      </c>
      <c r="H30" s="174">
        <v>5094797.75</v>
      </c>
      <c r="I30" s="174"/>
      <c r="J30" s="174"/>
      <c r="K30" s="55" t="s">
        <v>58</v>
      </c>
    </row>
    <row r="31" spans="1:13">
      <c r="A31" s="39" t="s">
        <v>65</v>
      </c>
      <c r="B31" s="45">
        <v>55</v>
      </c>
      <c r="C31" s="183">
        <f t="shared" si="11"/>
        <v>95902.5</v>
      </c>
      <c r="D31" s="174">
        <v>5274637.5</v>
      </c>
      <c r="E31" s="183">
        <f t="shared" si="9"/>
        <v>96377.5</v>
      </c>
      <c r="F31" s="174">
        <v>5300762.5</v>
      </c>
      <c r="G31" s="183">
        <f t="shared" si="10"/>
        <v>96852.5</v>
      </c>
      <c r="H31" s="174">
        <v>5326887.5</v>
      </c>
      <c r="I31" s="174"/>
      <c r="J31" s="174"/>
      <c r="K31" s="55" t="s">
        <v>58</v>
      </c>
    </row>
    <row r="32" spans="1:13">
      <c r="A32" s="46" t="s">
        <v>66</v>
      </c>
      <c r="B32" s="47">
        <v>56.5</v>
      </c>
      <c r="C32" s="184">
        <f t="shared" si="11"/>
        <v>95902.5</v>
      </c>
      <c r="D32" s="178">
        <v>5418491.25</v>
      </c>
      <c r="E32" s="177">
        <f t="shared" si="9"/>
        <v>96377.5</v>
      </c>
      <c r="F32" s="179">
        <v>5445328.75</v>
      </c>
      <c r="G32" s="177">
        <f t="shared" si="10"/>
        <v>96852.5</v>
      </c>
      <c r="H32" s="180">
        <v>5472166.25</v>
      </c>
      <c r="I32" s="185"/>
      <c r="J32" s="185"/>
      <c r="K32" s="56" t="s">
        <v>58</v>
      </c>
    </row>
    <row r="33" spans="1:15">
      <c r="A33" s="44" t="s">
        <v>67</v>
      </c>
      <c r="B33" s="40">
        <v>21.3</v>
      </c>
      <c r="C33" s="182">
        <f t="shared" si="11"/>
        <v>131303.29999999999</v>
      </c>
      <c r="D33" s="182">
        <f>2943958.2*0.95</f>
        <v>2796760.29</v>
      </c>
      <c r="E33" s="182">
        <f t="shared" ref="E33:E39" si="12">F33/B33</f>
        <v>131778.29999999999</v>
      </c>
      <c r="F33" s="172">
        <f>2954608.2*0.95</f>
        <v>2806877.79</v>
      </c>
      <c r="G33" s="182">
        <f t="shared" si="10"/>
        <v>132253.29999999999</v>
      </c>
      <c r="H33" s="172">
        <v>2816995.29</v>
      </c>
      <c r="I33" s="172"/>
      <c r="J33" s="172"/>
      <c r="K33" s="54" t="s">
        <v>60</v>
      </c>
      <c r="O33" s="34"/>
    </row>
    <row r="34" spans="1:15">
      <c r="A34" s="39" t="s">
        <v>68</v>
      </c>
      <c r="B34" s="45">
        <v>24.3</v>
      </c>
      <c r="C34" s="174"/>
      <c r="D34" s="174"/>
      <c r="E34" s="183">
        <f t="shared" si="12"/>
        <v>129094.62599999999</v>
      </c>
      <c r="F34" s="174">
        <f>3302104.644*0.95</f>
        <v>3136999.4117999999</v>
      </c>
      <c r="G34" s="183">
        <f t="shared" si="10"/>
        <v>129569.62599999999</v>
      </c>
      <c r="H34" s="174">
        <f>3314254.644*0.95</f>
        <v>3148541.9117999999</v>
      </c>
      <c r="I34" s="174"/>
      <c r="J34" s="174"/>
      <c r="K34" s="55" t="s">
        <v>60</v>
      </c>
      <c r="O34" s="34"/>
    </row>
    <row r="35" spans="1:15">
      <c r="A35" s="39" t="s">
        <v>69</v>
      </c>
      <c r="B35" s="45">
        <v>37</v>
      </c>
      <c r="C35" s="183">
        <f>D35/B35</f>
        <v>108727.5</v>
      </c>
      <c r="D35" s="183">
        <f>4234650*0.95</f>
        <v>4022917.5</v>
      </c>
      <c r="E35" s="183">
        <f t="shared" si="12"/>
        <v>109202.5</v>
      </c>
      <c r="F35" s="174">
        <f>4253150*0.95</f>
        <v>4040492.5</v>
      </c>
      <c r="G35" s="183">
        <f t="shared" si="10"/>
        <v>109677.5</v>
      </c>
      <c r="H35" s="174">
        <v>4058067.5</v>
      </c>
      <c r="I35" s="174"/>
      <c r="J35" s="174"/>
      <c r="K35" s="55" t="s">
        <v>60</v>
      </c>
      <c r="O35" s="34"/>
    </row>
    <row r="36" spans="1:15">
      <c r="A36" s="39" t="s">
        <v>68</v>
      </c>
      <c r="B36" s="45">
        <v>37.700000000000003</v>
      </c>
      <c r="C36" s="183">
        <f>D36/B36</f>
        <v>108727.49999999999</v>
      </c>
      <c r="D36" s="183">
        <f>4314765*0.95</f>
        <v>4099026.75</v>
      </c>
      <c r="E36" s="183">
        <f t="shared" si="12"/>
        <v>109202.49999999999</v>
      </c>
      <c r="F36" s="174">
        <f>4333615*0.95</f>
        <v>4116934.25</v>
      </c>
      <c r="G36" s="183">
        <f t="shared" si="10"/>
        <v>109677.49999999999</v>
      </c>
      <c r="H36" s="174">
        <v>4134841.75</v>
      </c>
      <c r="I36" s="174"/>
      <c r="J36" s="174"/>
      <c r="K36" s="55" t="s">
        <v>60</v>
      </c>
      <c r="O36" s="34"/>
    </row>
    <row r="37" spans="1:15">
      <c r="A37" s="46" t="s">
        <v>69</v>
      </c>
      <c r="B37" s="43">
        <v>55</v>
      </c>
      <c r="C37" s="177">
        <f>D37/B37</f>
        <v>95902.5</v>
      </c>
      <c r="D37" s="177">
        <f>5552250*0.95</f>
        <v>5274637.5</v>
      </c>
      <c r="E37" s="177">
        <f t="shared" si="12"/>
        <v>96377.5</v>
      </c>
      <c r="F37" s="180">
        <f>5579750*0.95</f>
        <v>5300762.5</v>
      </c>
      <c r="G37" s="177">
        <f t="shared" si="10"/>
        <v>96852.5</v>
      </c>
      <c r="H37" s="180">
        <v>5326887.5</v>
      </c>
      <c r="I37" s="180"/>
      <c r="J37" s="180"/>
      <c r="K37" s="53" t="s">
        <v>60</v>
      </c>
      <c r="O37" s="34"/>
    </row>
    <row r="38" spans="1:15">
      <c r="A38" s="37" t="s">
        <v>70</v>
      </c>
      <c r="B38" s="38">
        <v>64.5</v>
      </c>
      <c r="C38" s="168">
        <f>D38/B38</f>
        <v>87040.9</v>
      </c>
      <c r="D38" s="167">
        <f>5909619*0.95</f>
        <v>5614138.0499999998</v>
      </c>
      <c r="E38" s="168">
        <f t="shared" si="12"/>
        <v>87515.9</v>
      </c>
      <c r="F38" s="167">
        <f>5941869*0.95</f>
        <v>5644775.5499999998</v>
      </c>
      <c r="G38" s="188"/>
      <c r="H38" s="188"/>
      <c r="I38" s="188"/>
      <c r="J38" s="188"/>
      <c r="K38" s="51"/>
    </row>
    <row r="39" spans="1:15">
      <c r="A39" s="37" t="s">
        <v>71</v>
      </c>
      <c r="B39" s="38">
        <v>64.5</v>
      </c>
      <c r="C39" s="168">
        <f>D39/B39</f>
        <v>88940.9</v>
      </c>
      <c r="D39" s="167">
        <f>6038619*0.95</f>
        <v>5736688.0499999998</v>
      </c>
      <c r="E39" s="168">
        <f t="shared" si="12"/>
        <v>89415.9</v>
      </c>
      <c r="F39" s="167">
        <f>6070869*0.95</f>
        <v>5767325.5499999998</v>
      </c>
      <c r="G39" s="189">
        <f>H39/B39</f>
        <v>89890.9</v>
      </c>
      <c r="H39" s="188">
        <f>6103119*0.95</f>
        <v>5797963.0499999998</v>
      </c>
      <c r="I39" s="188"/>
      <c r="J39" s="188"/>
      <c r="K39" s="51" t="s">
        <v>60</v>
      </c>
    </row>
    <row r="41" spans="1:15" ht="19.5" thickBot="1">
      <c r="A41" s="164" t="s">
        <v>132</v>
      </c>
      <c r="B41" s="1"/>
      <c r="C41" s="1"/>
      <c r="D41" s="1"/>
      <c r="E41" s="4"/>
      <c r="F41" s="4"/>
      <c r="G41" s="4"/>
      <c r="H41" s="4"/>
      <c r="I41" s="4"/>
      <c r="J41" s="4"/>
      <c r="K41" s="4"/>
    </row>
    <row r="42" spans="1:15" ht="45.75" thickBot="1">
      <c r="A42" s="35" t="s">
        <v>21</v>
      </c>
      <c r="B42" s="36" t="s">
        <v>54</v>
      </c>
      <c r="C42" s="36" t="s">
        <v>23</v>
      </c>
      <c r="D42" s="36" t="s">
        <v>24</v>
      </c>
      <c r="E42" s="36" t="s">
        <v>25</v>
      </c>
      <c r="F42" s="36" t="s">
        <v>24</v>
      </c>
      <c r="G42" s="36" t="s">
        <v>55</v>
      </c>
      <c r="H42" s="36" t="s">
        <v>24</v>
      </c>
      <c r="I42" s="36" t="s">
        <v>56</v>
      </c>
      <c r="J42" s="36" t="s">
        <v>24</v>
      </c>
      <c r="K42" s="50" t="s">
        <v>3</v>
      </c>
    </row>
    <row r="43" spans="1:15" ht="15.75" thickBot="1">
      <c r="A43" s="37" t="s">
        <v>57</v>
      </c>
      <c r="B43" s="38">
        <v>55.5</v>
      </c>
      <c r="C43" s="165"/>
      <c r="D43" s="166"/>
      <c r="E43" s="165"/>
      <c r="F43" s="167"/>
      <c r="G43" s="165">
        <f>H43/B43</f>
        <v>109086.5</v>
      </c>
      <c r="H43" s="167">
        <v>6054300.75</v>
      </c>
      <c r="I43" s="168">
        <f>J43/B43</f>
        <v>109621.5</v>
      </c>
      <c r="J43" s="167">
        <v>6083993.25</v>
      </c>
      <c r="K43" s="51" t="s">
        <v>58</v>
      </c>
    </row>
    <row r="44" spans="1:15">
      <c r="A44" s="39" t="s">
        <v>59</v>
      </c>
      <c r="B44" s="40">
        <v>21.3</v>
      </c>
      <c r="C44" s="169"/>
      <c r="D44" s="170"/>
      <c r="E44" s="171">
        <f>F44/B44</f>
        <v>151470.27000000002</v>
      </c>
      <c r="F44" s="172">
        <v>3226316.7510000006</v>
      </c>
      <c r="G44" s="171">
        <f t="shared" ref="G44:G59" si="13">H44/B44</f>
        <v>148958.98000000001</v>
      </c>
      <c r="H44" s="172">
        <v>3172826.2740000002</v>
      </c>
      <c r="I44" s="172"/>
      <c r="J44" s="172"/>
      <c r="K44" s="52" t="s">
        <v>60</v>
      </c>
    </row>
    <row r="45" spans="1:15">
      <c r="A45" s="39" t="s">
        <v>61</v>
      </c>
      <c r="B45" s="41">
        <v>37</v>
      </c>
      <c r="C45" s="173">
        <f>D45/B45</f>
        <v>122461.5</v>
      </c>
      <c r="D45" s="174">
        <v>4531075.5</v>
      </c>
      <c r="E45" s="173">
        <f t="shared" ref="E45:E59" si="14">F45/B45</f>
        <v>122996.5</v>
      </c>
      <c r="F45" s="174">
        <v>4550870.5</v>
      </c>
      <c r="G45" s="173">
        <f t="shared" si="13"/>
        <v>123531.5</v>
      </c>
      <c r="H45" s="175">
        <v>4570665.5</v>
      </c>
      <c r="I45" s="175"/>
      <c r="J45" s="175"/>
      <c r="K45" s="52" t="s">
        <v>60</v>
      </c>
    </row>
    <row r="46" spans="1:15">
      <c r="A46" s="39" t="s">
        <v>62</v>
      </c>
      <c r="B46" s="41">
        <v>55</v>
      </c>
      <c r="C46" s="176">
        <f t="shared" ref="C46:C59" si="15">D46/B46</f>
        <v>108989.13</v>
      </c>
      <c r="D46" s="174">
        <v>5994402.1500000004</v>
      </c>
      <c r="E46" s="176">
        <f t="shared" si="14"/>
        <v>109524.13</v>
      </c>
      <c r="F46" s="174">
        <v>6023827.1500000004</v>
      </c>
      <c r="G46" s="176">
        <f t="shared" si="13"/>
        <v>109086.5</v>
      </c>
      <c r="H46" s="175">
        <v>5999757.5</v>
      </c>
      <c r="I46" s="175"/>
      <c r="J46" s="175"/>
      <c r="K46" s="52" t="s">
        <v>60</v>
      </c>
    </row>
    <row r="47" spans="1:15" ht="15.75" thickBot="1">
      <c r="A47" s="42" t="s">
        <v>63</v>
      </c>
      <c r="B47" s="43">
        <v>64.8</v>
      </c>
      <c r="C47" s="177">
        <f t="shared" si="15"/>
        <v>98035.54</v>
      </c>
      <c r="D47" s="178">
        <v>6352702.9919999996</v>
      </c>
      <c r="E47" s="177">
        <f t="shared" si="14"/>
        <v>98570.54</v>
      </c>
      <c r="F47" s="179">
        <v>6387370.9919999996</v>
      </c>
      <c r="G47" s="177">
        <f t="shared" si="13"/>
        <v>98279.500000000015</v>
      </c>
      <c r="H47" s="180">
        <v>6368511.6000000006</v>
      </c>
      <c r="I47" s="181"/>
      <c r="J47" s="180"/>
      <c r="K47" s="53" t="s">
        <v>60</v>
      </c>
    </row>
    <row r="48" spans="1:15">
      <c r="A48" s="39" t="s">
        <v>65</v>
      </c>
      <c r="B48" s="45">
        <v>34</v>
      </c>
      <c r="C48" s="183">
        <f t="shared" si="15"/>
        <v>124601.5</v>
      </c>
      <c r="D48" s="174">
        <v>4236451</v>
      </c>
      <c r="E48" s="183">
        <f t="shared" si="14"/>
        <v>125136.5</v>
      </c>
      <c r="F48" s="174">
        <v>4254641</v>
      </c>
      <c r="G48" s="183">
        <f t="shared" si="13"/>
        <v>125671.5</v>
      </c>
      <c r="H48" s="174">
        <v>4272831</v>
      </c>
      <c r="I48" s="174"/>
      <c r="J48" s="174"/>
      <c r="K48" s="55" t="s">
        <v>58</v>
      </c>
    </row>
    <row r="49" spans="1:11">
      <c r="A49" s="39" t="s">
        <v>65</v>
      </c>
      <c r="B49" s="45">
        <v>37</v>
      </c>
      <c r="C49" s="183">
        <f t="shared" si="15"/>
        <v>122461.5</v>
      </c>
      <c r="D49" s="174">
        <v>4531075.5</v>
      </c>
      <c r="E49" s="183">
        <f t="shared" si="14"/>
        <v>122996.5</v>
      </c>
      <c r="F49" s="174">
        <v>4550870.5</v>
      </c>
      <c r="G49" s="183">
        <f t="shared" si="13"/>
        <v>123531.5</v>
      </c>
      <c r="H49" s="174">
        <v>4570665.5</v>
      </c>
      <c r="I49" s="174"/>
      <c r="J49" s="174"/>
      <c r="K49" s="55" t="s">
        <v>58</v>
      </c>
    </row>
    <row r="50" spans="1:11">
      <c r="A50" s="39" t="s">
        <v>66</v>
      </c>
      <c r="B50" s="45">
        <v>51.1</v>
      </c>
      <c r="C50" s="183">
        <f t="shared" si="15"/>
        <v>111226.5</v>
      </c>
      <c r="D50" s="174">
        <v>5683674.1500000004</v>
      </c>
      <c r="E50" s="183">
        <f t="shared" si="14"/>
        <v>111761.5</v>
      </c>
      <c r="F50" s="174">
        <v>5711012.6500000004</v>
      </c>
      <c r="G50" s="183">
        <f t="shared" si="13"/>
        <v>112296.5</v>
      </c>
      <c r="H50" s="174">
        <v>5738351.1500000004</v>
      </c>
      <c r="I50" s="174"/>
      <c r="J50" s="174"/>
      <c r="K50" s="55" t="s">
        <v>58</v>
      </c>
    </row>
    <row r="51" spans="1:11">
      <c r="A51" s="39" t="s">
        <v>65</v>
      </c>
      <c r="B51" s="45">
        <v>55</v>
      </c>
      <c r="C51" s="183">
        <f t="shared" si="15"/>
        <v>108016.5</v>
      </c>
      <c r="D51" s="174">
        <v>5940907.5</v>
      </c>
      <c r="E51" s="183">
        <f t="shared" si="14"/>
        <v>108551.5</v>
      </c>
      <c r="F51" s="174">
        <v>5970332.5</v>
      </c>
      <c r="G51" s="183">
        <f t="shared" si="13"/>
        <v>109086.5</v>
      </c>
      <c r="H51" s="174">
        <v>5999757.5</v>
      </c>
      <c r="I51" s="174"/>
      <c r="J51" s="174"/>
      <c r="K51" s="55" t="s">
        <v>58</v>
      </c>
    </row>
    <row r="52" spans="1:11" ht="15.75" thickBot="1">
      <c r="A52" s="46" t="s">
        <v>66</v>
      </c>
      <c r="B52" s="47">
        <v>56.5</v>
      </c>
      <c r="C52" s="184">
        <f t="shared" si="15"/>
        <v>108016.5</v>
      </c>
      <c r="D52" s="178">
        <v>6102932.25</v>
      </c>
      <c r="E52" s="177">
        <f t="shared" si="14"/>
        <v>108551.5</v>
      </c>
      <c r="F52" s="179">
        <v>6133159.75</v>
      </c>
      <c r="G52" s="177">
        <f t="shared" si="13"/>
        <v>109086.5</v>
      </c>
      <c r="H52" s="180">
        <v>6163387.25</v>
      </c>
      <c r="I52" s="185"/>
      <c r="J52" s="185"/>
      <c r="K52" s="56" t="s">
        <v>58</v>
      </c>
    </row>
    <row r="53" spans="1:11">
      <c r="A53" s="240" t="s">
        <v>67</v>
      </c>
      <c r="B53" s="40">
        <v>21.3</v>
      </c>
      <c r="C53" s="182">
        <f t="shared" si="15"/>
        <v>147888.98000000001</v>
      </c>
      <c r="D53" s="182">
        <v>3150035.2740000002</v>
      </c>
      <c r="E53" s="182">
        <f t="shared" si="14"/>
        <v>148423.98000000001</v>
      </c>
      <c r="F53" s="172">
        <v>3161430.7740000002</v>
      </c>
      <c r="G53" s="182">
        <f t="shared" si="13"/>
        <v>148958.98000000001</v>
      </c>
      <c r="H53" s="172">
        <v>3172826.2740000002</v>
      </c>
      <c r="I53" s="172"/>
      <c r="J53" s="172"/>
      <c r="K53" s="54" t="s">
        <v>60</v>
      </c>
    </row>
    <row r="54" spans="1:11">
      <c r="A54" s="39" t="s">
        <v>68</v>
      </c>
      <c r="B54" s="45">
        <v>24.3</v>
      </c>
      <c r="C54" s="174">
        <f t="shared" si="15"/>
        <v>0</v>
      </c>
      <c r="D54" s="174"/>
      <c r="E54" s="183">
        <f t="shared" si="14"/>
        <v>145401.3156</v>
      </c>
      <c r="F54" s="174">
        <v>3533251.9690800002</v>
      </c>
      <c r="G54" s="183">
        <f t="shared" si="13"/>
        <v>145936.3156</v>
      </c>
      <c r="H54" s="174">
        <v>3546252.4690800002</v>
      </c>
      <c r="I54" s="174"/>
      <c r="J54" s="174"/>
      <c r="K54" s="55" t="s">
        <v>60</v>
      </c>
    </row>
    <row r="55" spans="1:11">
      <c r="A55" s="39" t="s">
        <v>69</v>
      </c>
      <c r="B55" s="45">
        <v>37</v>
      </c>
      <c r="C55" s="183">
        <f t="shared" si="15"/>
        <v>122461.5</v>
      </c>
      <c r="D55" s="183">
        <v>4531075.5</v>
      </c>
      <c r="E55" s="183">
        <f t="shared" si="14"/>
        <v>122996.5</v>
      </c>
      <c r="F55" s="174">
        <v>4550870.5</v>
      </c>
      <c r="G55" s="183">
        <f t="shared" si="13"/>
        <v>123531.5</v>
      </c>
      <c r="H55" s="174">
        <v>4570665.5</v>
      </c>
      <c r="I55" s="174"/>
      <c r="J55" s="174"/>
      <c r="K55" s="55" t="s">
        <v>60</v>
      </c>
    </row>
    <row r="56" spans="1:11">
      <c r="A56" s="39" t="s">
        <v>68</v>
      </c>
      <c r="B56" s="45">
        <v>37.700000000000003</v>
      </c>
      <c r="C56" s="183">
        <f t="shared" si="15"/>
        <v>122461.49999999999</v>
      </c>
      <c r="D56" s="183">
        <v>4616798.55</v>
      </c>
      <c r="E56" s="183">
        <f t="shared" si="14"/>
        <v>122996.49999999999</v>
      </c>
      <c r="F56" s="174">
        <v>4636968.05</v>
      </c>
      <c r="G56" s="183">
        <f t="shared" si="13"/>
        <v>123531.49999999999</v>
      </c>
      <c r="H56" s="174">
        <v>4657137.55</v>
      </c>
      <c r="I56" s="174"/>
      <c r="J56" s="174"/>
      <c r="K56" s="55" t="s">
        <v>60</v>
      </c>
    </row>
    <row r="57" spans="1:11" ht="15.75" thickBot="1">
      <c r="A57" s="48" t="s">
        <v>69</v>
      </c>
      <c r="B57" s="43">
        <v>55</v>
      </c>
      <c r="C57" s="177">
        <f t="shared" si="15"/>
        <v>108016.5</v>
      </c>
      <c r="D57" s="177">
        <v>5940907.5</v>
      </c>
      <c r="E57" s="177">
        <f t="shared" si="14"/>
        <v>108551.5</v>
      </c>
      <c r="F57" s="180">
        <v>5970332.5</v>
      </c>
      <c r="G57" s="177">
        <f t="shared" si="13"/>
        <v>109086.5</v>
      </c>
      <c r="H57" s="180">
        <v>5999757.5</v>
      </c>
      <c r="I57" s="180"/>
      <c r="J57" s="180"/>
      <c r="K57" s="58" t="s">
        <v>60</v>
      </c>
    </row>
    <row r="58" spans="1:11" ht="15.75" thickBot="1">
      <c r="A58" s="37" t="s">
        <v>70</v>
      </c>
      <c r="B58" s="38">
        <v>64.5</v>
      </c>
      <c r="C58" s="168">
        <f t="shared" si="15"/>
        <v>98035.540000000008</v>
      </c>
      <c r="D58" s="167">
        <v>6323292.3300000001</v>
      </c>
      <c r="E58" s="168">
        <f t="shared" si="14"/>
        <v>98570.540000000008</v>
      </c>
      <c r="F58" s="167">
        <v>6357799.8300000001</v>
      </c>
      <c r="G58" s="188">
        <f t="shared" si="13"/>
        <v>0</v>
      </c>
      <c r="H58" s="188"/>
      <c r="I58" s="188"/>
      <c r="J58" s="188"/>
      <c r="K58" s="51" t="s">
        <v>60</v>
      </c>
    </row>
    <row r="59" spans="1:11" ht="15.75" thickBot="1">
      <c r="A59" s="37" t="s">
        <v>71</v>
      </c>
      <c r="B59" s="38">
        <v>64.5</v>
      </c>
      <c r="C59" s="168">
        <f t="shared" si="15"/>
        <v>100175.54000000001</v>
      </c>
      <c r="D59" s="167">
        <v>6461322.3300000001</v>
      </c>
      <c r="E59" s="168">
        <f t="shared" si="14"/>
        <v>100710.54000000001</v>
      </c>
      <c r="F59" s="167">
        <v>6495829.8300000001</v>
      </c>
      <c r="G59" s="189">
        <f t="shared" si="13"/>
        <v>101245.54000000001</v>
      </c>
      <c r="H59" s="188">
        <v>6530337.3300000001</v>
      </c>
      <c r="I59" s="188"/>
      <c r="J59" s="188"/>
      <c r="K59" s="51" t="s">
        <v>60</v>
      </c>
    </row>
  </sheetData>
  <pageMargins left="0.31496062992126" right="0.31496062992126" top="0.35433070866141703" bottom="0.35433070866141703" header="0.31496062992126" footer="0.31496062992126"/>
  <pageSetup paperSize="9" scale="7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7"/>
  <sheetViews>
    <sheetView topLeftCell="A76" zoomScale="90" zoomScaleNormal="90" workbookViewId="0">
      <selection activeCell="A74" sqref="A74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7109375" customWidth="1"/>
    <col min="12" max="12" width="15.85546875" customWidth="1"/>
    <col min="13" max="13" width="13" customWidth="1"/>
    <col min="14" max="14" width="13.140625" customWidth="1"/>
  </cols>
  <sheetData>
    <row r="1" spans="1:10" s="1" customFormat="1" ht="19.5" thickBot="1">
      <c r="A1" s="164" t="s">
        <v>126</v>
      </c>
      <c r="E1" s="4"/>
      <c r="F1" s="4"/>
      <c r="G1" s="4"/>
      <c r="H1" s="4"/>
      <c r="I1" s="4"/>
      <c r="J1" s="4"/>
    </row>
    <row r="2" spans="1:10" s="2" customFormat="1" ht="45">
      <c r="A2" s="5" t="s">
        <v>21</v>
      </c>
      <c r="B2" s="6" t="s">
        <v>72</v>
      </c>
      <c r="C2" s="7" t="s">
        <v>73</v>
      </c>
      <c r="D2" s="8" t="s">
        <v>74</v>
      </c>
      <c r="E2" s="7" t="s">
        <v>75</v>
      </c>
      <c r="F2" s="7" t="s">
        <v>74</v>
      </c>
      <c r="G2" s="9" t="s">
        <v>76</v>
      </c>
    </row>
    <row r="3" spans="1:10">
      <c r="A3" s="10" t="s">
        <v>77</v>
      </c>
      <c r="B3" s="11">
        <v>20.67</v>
      </c>
      <c r="C3" s="104">
        <f>D3/B3</f>
        <v>132227.49999999997</v>
      </c>
      <c r="D3" s="104">
        <v>2733142.4249999998</v>
      </c>
      <c r="E3" s="105"/>
      <c r="F3" s="105"/>
      <c r="G3" s="12" t="s">
        <v>7</v>
      </c>
    </row>
    <row r="4" spans="1:10" ht="15.75" thickBot="1">
      <c r="A4" s="114" t="s">
        <v>90</v>
      </c>
      <c r="B4" s="115">
        <v>52.97</v>
      </c>
      <c r="C4" s="116">
        <f t="shared" ref="C4:C35" si="0">D4/B4</f>
        <v>93243.655000000013</v>
      </c>
      <c r="D4" s="116">
        <v>4939116.4053500006</v>
      </c>
      <c r="E4" s="106"/>
      <c r="F4" s="106"/>
      <c r="G4" s="117" t="s">
        <v>7</v>
      </c>
    </row>
    <row r="5" spans="1:10">
      <c r="A5" s="120" t="s">
        <v>91</v>
      </c>
      <c r="B5" s="20">
        <v>38.25</v>
      </c>
      <c r="C5" s="108">
        <f t="shared" si="0"/>
        <v>110662.5</v>
      </c>
      <c r="D5" s="108">
        <v>4232840.625</v>
      </c>
      <c r="E5" s="155"/>
      <c r="F5" s="155"/>
      <c r="G5" s="110" t="s">
        <v>7</v>
      </c>
      <c r="I5" s="33"/>
    </row>
    <row r="6" spans="1:10" ht="15.75" thickBot="1">
      <c r="A6" s="121" t="s">
        <v>91</v>
      </c>
      <c r="B6" s="115">
        <v>40.89</v>
      </c>
      <c r="C6" s="116">
        <f t="shared" si="0"/>
        <v>106689.99999999999</v>
      </c>
      <c r="D6" s="116">
        <v>4362554.0999999996</v>
      </c>
      <c r="E6" s="106"/>
      <c r="F6" s="106"/>
      <c r="G6" s="119" t="s">
        <v>7</v>
      </c>
      <c r="I6" s="33"/>
    </row>
    <row r="7" spans="1:10" s="2" customFormat="1">
      <c r="A7" s="22" t="s">
        <v>78</v>
      </c>
      <c r="B7" s="23">
        <v>38.25</v>
      </c>
      <c r="C7" s="156">
        <f t="shared" si="0"/>
        <v>110662.5</v>
      </c>
      <c r="D7" s="107">
        <v>4232840.625</v>
      </c>
      <c r="E7" s="223">
        <f>F7/B7</f>
        <v>111797.5</v>
      </c>
      <c r="F7" s="107">
        <v>4276254.375</v>
      </c>
      <c r="G7" s="25" t="s">
        <v>30</v>
      </c>
      <c r="I7" s="33"/>
      <c r="J7"/>
    </row>
    <row r="8" spans="1:10" s="2" customFormat="1">
      <c r="A8" s="13" t="s">
        <v>79</v>
      </c>
      <c r="B8" s="14">
        <v>43.2</v>
      </c>
      <c r="C8" s="232">
        <f t="shared" si="0"/>
        <v>104420.00000000001</v>
      </c>
      <c r="D8" s="105">
        <v>4510944.0000000009</v>
      </c>
      <c r="E8" s="225">
        <f t="shared" ref="E8:E35" si="1">F8/B8</f>
        <v>105555.00000000001</v>
      </c>
      <c r="F8" s="105">
        <v>4559976.0000000009</v>
      </c>
      <c r="G8" s="15" t="s">
        <v>30</v>
      </c>
      <c r="I8" s="33"/>
      <c r="J8"/>
    </row>
    <row r="9" spans="1:10" s="2" customFormat="1">
      <c r="A9" s="13" t="s">
        <v>79</v>
      </c>
      <c r="B9" s="14">
        <v>45.32</v>
      </c>
      <c r="C9" s="232">
        <f t="shared" si="0"/>
        <v>103285</v>
      </c>
      <c r="D9" s="105">
        <v>4680876.2</v>
      </c>
      <c r="E9" s="225">
        <f t="shared" si="1"/>
        <v>104420.00000000001</v>
      </c>
      <c r="F9" s="105">
        <v>4732314.4000000004</v>
      </c>
      <c r="G9" s="15" t="s">
        <v>30</v>
      </c>
      <c r="I9" s="33"/>
      <c r="J9"/>
    </row>
    <row r="10" spans="1:10" s="2" customFormat="1">
      <c r="A10" s="13" t="s">
        <v>79</v>
      </c>
      <c r="B10" s="14">
        <v>48.45</v>
      </c>
      <c r="C10" s="232">
        <f t="shared" si="0"/>
        <v>99639.380000000019</v>
      </c>
      <c r="D10" s="105">
        <v>4827527.9610000011</v>
      </c>
      <c r="E10" s="225">
        <f t="shared" si="1"/>
        <v>100774.38000000002</v>
      </c>
      <c r="F10" s="105">
        <v>4882518.7110000011</v>
      </c>
      <c r="G10" s="15" t="s">
        <v>30</v>
      </c>
      <c r="I10" s="33"/>
      <c r="J10"/>
    </row>
    <row r="11" spans="1:10" s="2" customFormat="1" ht="15.75" thickBot="1">
      <c r="A11" s="16" t="s">
        <v>79</v>
      </c>
      <c r="B11" s="17">
        <v>55.52</v>
      </c>
      <c r="C11" s="157">
        <f t="shared" si="0"/>
        <v>93243.654999999999</v>
      </c>
      <c r="D11" s="106">
        <v>5176887.7256000005</v>
      </c>
      <c r="E11" s="226">
        <f t="shared" si="1"/>
        <v>94378.655000000013</v>
      </c>
      <c r="F11" s="106">
        <v>5239902.9256000007</v>
      </c>
      <c r="G11" s="18" t="s">
        <v>30</v>
      </c>
      <c r="I11" s="33"/>
      <c r="J11"/>
    </row>
    <row r="12" spans="1:10">
      <c r="A12" s="19" t="s">
        <v>80</v>
      </c>
      <c r="B12" s="20">
        <v>18.95</v>
      </c>
      <c r="C12" s="108">
        <f t="shared" si="0"/>
        <v>135632.5</v>
      </c>
      <c r="D12" s="104">
        <v>2570235.875</v>
      </c>
      <c r="E12" s="108">
        <f t="shared" si="1"/>
        <v>136767.5</v>
      </c>
      <c r="F12" s="108">
        <v>2591744.125</v>
      </c>
      <c r="G12" s="110" t="s">
        <v>30</v>
      </c>
      <c r="I12" s="33"/>
    </row>
    <row r="13" spans="1:10">
      <c r="A13" s="10" t="s">
        <v>80</v>
      </c>
      <c r="B13" s="11">
        <v>20.67</v>
      </c>
      <c r="C13" s="104">
        <f t="shared" si="0"/>
        <v>132227.49999999997</v>
      </c>
      <c r="D13" s="104">
        <v>2733142.4249999998</v>
      </c>
      <c r="E13" s="104">
        <f t="shared" si="1"/>
        <v>133362.5</v>
      </c>
      <c r="F13" s="104">
        <v>2756602.875</v>
      </c>
      <c r="G13" s="109" t="s">
        <v>30</v>
      </c>
      <c r="I13" s="33"/>
    </row>
    <row r="14" spans="1:10">
      <c r="A14" s="22" t="s">
        <v>81</v>
      </c>
      <c r="B14" s="23">
        <v>34.630000000000003</v>
      </c>
      <c r="C14" s="156">
        <f t="shared" si="0"/>
        <v>114866.54000000001</v>
      </c>
      <c r="D14" s="105">
        <v>3977828.2802000004</v>
      </c>
      <c r="E14" s="223">
        <f t="shared" si="1"/>
        <v>116001.54000000001</v>
      </c>
      <c r="F14" s="105">
        <v>4017133.3302000007</v>
      </c>
      <c r="G14" s="111" t="s">
        <v>30</v>
      </c>
      <c r="I14" s="33"/>
    </row>
    <row r="15" spans="1:10">
      <c r="A15" s="13" t="s">
        <v>82</v>
      </c>
      <c r="B15" s="14">
        <v>38.25</v>
      </c>
      <c r="C15" s="232">
        <f t="shared" si="0"/>
        <v>110662.5</v>
      </c>
      <c r="D15" s="105">
        <v>4232840.625</v>
      </c>
      <c r="E15" s="225">
        <f t="shared" si="1"/>
        <v>111797.5</v>
      </c>
      <c r="F15" s="105">
        <v>4276254.375</v>
      </c>
      <c r="G15" s="111" t="s">
        <v>30</v>
      </c>
      <c r="I15" s="33"/>
    </row>
    <row r="16" spans="1:10">
      <c r="A16" s="24" t="s">
        <v>81</v>
      </c>
      <c r="B16" s="14">
        <v>39</v>
      </c>
      <c r="C16" s="232">
        <f t="shared" si="0"/>
        <v>110405.99</v>
      </c>
      <c r="D16" s="105">
        <v>4305833.6100000003</v>
      </c>
      <c r="E16" s="232">
        <f t="shared" si="1"/>
        <v>111540.99</v>
      </c>
      <c r="F16" s="105">
        <v>4350098.6100000003</v>
      </c>
      <c r="G16" s="111" t="s">
        <v>30</v>
      </c>
      <c r="I16" s="33"/>
    </row>
    <row r="17" spans="1:9">
      <c r="A17" s="22" t="s">
        <v>83</v>
      </c>
      <c r="B17" s="23">
        <v>40.89</v>
      </c>
      <c r="C17" s="156">
        <f t="shared" si="0"/>
        <v>106689.99999999999</v>
      </c>
      <c r="D17" s="107">
        <v>4362554.0999999996</v>
      </c>
      <c r="E17" s="223">
        <f t="shared" si="1"/>
        <v>107825</v>
      </c>
      <c r="F17" s="107">
        <v>4408964.25</v>
      </c>
      <c r="G17" s="112" t="s">
        <v>30</v>
      </c>
      <c r="I17" s="33"/>
    </row>
    <row r="18" spans="1:9">
      <c r="A18" s="13" t="s">
        <v>83</v>
      </c>
      <c r="B18" s="14">
        <v>43.2</v>
      </c>
      <c r="C18" s="232">
        <f t="shared" si="0"/>
        <v>104420.00000000001</v>
      </c>
      <c r="D18" s="105">
        <v>4510944.0000000009</v>
      </c>
      <c r="E18" s="225">
        <f t="shared" si="1"/>
        <v>105555.00000000001</v>
      </c>
      <c r="F18" s="105">
        <v>4559976.0000000009</v>
      </c>
      <c r="G18" s="111" t="s">
        <v>30</v>
      </c>
      <c r="I18" s="33"/>
    </row>
    <row r="19" spans="1:9">
      <c r="A19" s="13" t="s">
        <v>83</v>
      </c>
      <c r="B19" s="14">
        <v>45.32</v>
      </c>
      <c r="C19" s="232">
        <f t="shared" si="0"/>
        <v>103285</v>
      </c>
      <c r="D19" s="105">
        <v>4680876.2</v>
      </c>
      <c r="E19" s="225">
        <f t="shared" si="1"/>
        <v>104420.00000000001</v>
      </c>
      <c r="F19" s="105">
        <v>4732314.4000000004</v>
      </c>
      <c r="G19" s="111" t="s">
        <v>30</v>
      </c>
      <c r="I19" s="33"/>
    </row>
    <row r="20" spans="1:9">
      <c r="A20" s="13" t="s">
        <v>83</v>
      </c>
      <c r="B20" s="14">
        <v>48.45</v>
      </c>
      <c r="C20" s="232">
        <f t="shared" si="0"/>
        <v>99639.380000000019</v>
      </c>
      <c r="D20" s="105">
        <v>4827527.9610000011</v>
      </c>
      <c r="E20" s="225">
        <f t="shared" si="1"/>
        <v>100774.38000000002</v>
      </c>
      <c r="F20" s="105">
        <v>4882518.7110000011</v>
      </c>
      <c r="G20" s="111" t="s">
        <v>30</v>
      </c>
      <c r="I20" s="33"/>
    </row>
    <row r="21" spans="1:9" ht="15.75" thickBot="1">
      <c r="A21" s="16" t="s">
        <v>83</v>
      </c>
      <c r="B21" s="17">
        <v>55.52</v>
      </c>
      <c r="C21" s="157">
        <f t="shared" si="0"/>
        <v>93243.654999999999</v>
      </c>
      <c r="D21" s="106">
        <v>5176887.7256000005</v>
      </c>
      <c r="E21" s="226">
        <f t="shared" si="1"/>
        <v>94378.655000000013</v>
      </c>
      <c r="F21" s="106">
        <v>5239902.9256000007</v>
      </c>
      <c r="G21" s="113" t="s">
        <v>30</v>
      </c>
      <c r="I21" s="33"/>
    </row>
    <row r="22" spans="1:9">
      <c r="A22" s="19" t="s">
        <v>84</v>
      </c>
      <c r="B22" s="20">
        <v>17</v>
      </c>
      <c r="C22" s="108">
        <f t="shared" si="0"/>
        <v>143123.5</v>
      </c>
      <c r="D22" s="108">
        <v>2433099.5</v>
      </c>
      <c r="E22" s="108">
        <f t="shared" si="1"/>
        <v>144258.5</v>
      </c>
      <c r="F22" s="108">
        <v>2452394.5</v>
      </c>
      <c r="G22" s="110" t="s">
        <v>30</v>
      </c>
      <c r="I22" s="33"/>
    </row>
    <row r="23" spans="1:9">
      <c r="A23" s="26" t="s">
        <v>84</v>
      </c>
      <c r="B23" s="11">
        <v>17.3</v>
      </c>
      <c r="C23" s="104">
        <f t="shared" si="0"/>
        <v>143123.49999999997</v>
      </c>
      <c r="D23" s="104">
        <v>2476036.5499999998</v>
      </c>
      <c r="E23" s="104">
        <f t="shared" si="1"/>
        <v>144258.49999999997</v>
      </c>
      <c r="F23" s="104">
        <v>2495672.0499999998</v>
      </c>
      <c r="G23" s="109" t="s">
        <v>30</v>
      </c>
      <c r="I23" s="33"/>
    </row>
    <row r="24" spans="1:9">
      <c r="A24" s="27" t="s">
        <v>84</v>
      </c>
      <c r="B24" s="11">
        <v>20</v>
      </c>
      <c r="C24" s="104">
        <f t="shared" si="0"/>
        <v>137448.5</v>
      </c>
      <c r="D24" s="104">
        <v>2748970</v>
      </c>
      <c r="E24" s="104">
        <f t="shared" si="1"/>
        <v>138583.5</v>
      </c>
      <c r="F24" s="104">
        <v>2771670</v>
      </c>
      <c r="G24" s="109" t="s">
        <v>30</v>
      </c>
      <c r="I24" s="33"/>
    </row>
    <row r="25" spans="1:9">
      <c r="A25" s="26" t="s">
        <v>84</v>
      </c>
      <c r="B25" s="11">
        <v>20.3</v>
      </c>
      <c r="C25" s="104">
        <f t="shared" si="0"/>
        <v>137448.5</v>
      </c>
      <c r="D25" s="104">
        <v>2790204.55</v>
      </c>
      <c r="E25" s="104">
        <f t="shared" si="1"/>
        <v>138583.5</v>
      </c>
      <c r="F25" s="104">
        <v>2813245.05</v>
      </c>
      <c r="G25" s="109" t="s">
        <v>30</v>
      </c>
      <c r="I25" s="33"/>
    </row>
    <row r="26" spans="1:9">
      <c r="A26" s="13" t="s">
        <v>85</v>
      </c>
      <c r="B26" s="14">
        <v>42.1</v>
      </c>
      <c r="C26" s="232">
        <f t="shared" si="0"/>
        <v>105555</v>
      </c>
      <c r="D26" s="105">
        <v>4443865.5</v>
      </c>
      <c r="E26" s="225">
        <f t="shared" si="1"/>
        <v>106690</v>
      </c>
      <c r="F26" s="105">
        <v>4491649</v>
      </c>
      <c r="G26" s="111" t="s">
        <v>30</v>
      </c>
      <c r="I26" s="33"/>
    </row>
    <row r="27" spans="1:9">
      <c r="A27" s="22" t="s">
        <v>86</v>
      </c>
      <c r="B27" s="14">
        <v>46.7</v>
      </c>
      <c r="C27" s="232">
        <f t="shared" si="0"/>
        <v>104420</v>
      </c>
      <c r="D27" s="105">
        <v>4876414</v>
      </c>
      <c r="E27" s="225">
        <f t="shared" si="1"/>
        <v>105555</v>
      </c>
      <c r="F27" s="105">
        <v>4929418.5</v>
      </c>
      <c r="G27" s="111" t="s">
        <v>30</v>
      </c>
      <c r="I27" s="33"/>
    </row>
    <row r="28" spans="1:9" ht="15.75" thickBot="1">
      <c r="A28" s="16" t="s">
        <v>86</v>
      </c>
      <c r="B28" s="17">
        <v>57.1</v>
      </c>
      <c r="C28" s="157">
        <f t="shared" si="0"/>
        <v>94378.654999999999</v>
      </c>
      <c r="D28" s="106">
        <v>5389021.2005000003</v>
      </c>
      <c r="E28" s="226">
        <f t="shared" si="1"/>
        <v>95513.654999999999</v>
      </c>
      <c r="F28" s="106">
        <v>5453829.7005000003</v>
      </c>
      <c r="G28" s="113" t="s">
        <v>30</v>
      </c>
      <c r="I28" s="33"/>
    </row>
    <row r="29" spans="1:9">
      <c r="A29" s="19" t="s">
        <v>87</v>
      </c>
      <c r="B29" s="20">
        <v>17</v>
      </c>
      <c r="C29" s="108">
        <f t="shared" si="0"/>
        <v>141988.5</v>
      </c>
      <c r="D29" s="108">
        <v>2413804.5</v>
      </c>
      <c r="E29" s="108">
        <f t="shared" si="1"/>
        <v>143123.5</v>
      </c>
      <c r="F29" s="108">
        <v>2433099.5</v>
      </c>
      <c r="G29" s="21" t="s">
        <v>7</v>
      </c>
      <c r="I29" s="33"/>
    </row>
    <row r="30" spans="1:9">
      <c r="A30" s="26" t="s">
        <v>87</v>
      </c>
      <c r="B30" s="11">
        <v>17.3</v>
      </c>
      <c r="C30" s="104">
        <f t="shared" si="0"/>
        <v>141988.49999999997</v>
      </c>
      <c r="D30" s="104">
        <v>2456401.0499999998</v>
      </c>
      <c r="E30" s="104">
        <f t="shared" si="1"/>
        <v>143123.49999999997</v>
      </c>
      <c r="F30" s="104">
        <v>2476036.5499999998</v>
      </c>
      <c r="G30" s="12" t="s">
        <v>7</v>
      </c>
      <c r="I30" s="33"/>
    </row>
    <row r="31" spans="1:9">
      <c r="A31" s="27" t="s">
        <v>87</v>
      </c>
      <c r="B31" s="11">
        <v>20</v>
      </c>
      <c r="C31" s="104">
        <f t="shared" si="0"/>
        <v>136313.5</v>
      </c>
      <c r="D31" s="104">
        <v>2726270</v>
      </c>
      <c r="E31" s="104">
        <f t="shared" si="1"/>
        <v>137448.5</v>
      </c>
      <c r="F31" s="104">
        <v>2748970</v>
      </c>
      <c r="G31" s="12" t="s">
        <v>7</v>
      </c>
      <c r="I31" s="33"/>
    </row>
    <row r="32" spans="1:9">
      <c r="A32" s="26" t="s">
        <v>87</v>
      </c>
      <c r="B32" s="11">
        <v>20.3</v>
      </c>
      <c r="C32" s="104">
        <f t="shared" si="0"/>
        <v>136313.5</v>
      </c>
      <c r="D32" s="104">
        <v>2767164.05</v>
      </c>
      <c r="E32" s="104">
        <f t="shared" si="1"/>
        <v>137448.5</v>
      </c>
      <c r="F32" s="104">
        <v>2790204.55</v>
      </c>
      <c r="G32" s="12" t="s">
        <v>7</v>
      </c>
      <c r="I32" s="33"/>
    </row>
    <row r="33" spans="1:10">
      <c r="A33" s="13" t="s">
        <v>88</v>
      </c>
      <c r="B33" s="14">
        <v>42.1</v>
      </c>
      <c r="C33" s="232">
        <f t="shared" si="0"/>
        <v>104420</v>
      </c>
      <c r="D33" s="105">
        <v>4396082</v>
      </c>
      <c r="E33" s="225">
        <f t="shared" si="1"/>
        <v>105555</v>
      </c>
      <c r="F33" s="105">
        <v>4443865.5</v>
      </c>
      <c r="G33" s="15" t="s">
        <v>7</v>
      </c>
      <c r="I33" s="33"/>
    </row>
    <row r="34" spans="1:10">
      <c r="A34" s="22" t="s">
        <v>89</v>
      </c>
      <c r="B34" s="14">
        <v>46.7</v>
      </c>
      <c r="C34" s="232">
        <f t="shared" si="0"/>
        <v>103285</v>
      </c>
      <c r="D34" s="105">
        <v>4823409.5</v>
      </c>
      <c r="E34" s="225">
        <f t="shared" si="1"/>
        <v>104420</v>
      </c>
      <c r="F34" s="105">
        <v>4876414</v>
      </c>
      <c r="G34" s="15" t="s">
        <v>7</v>
      </c>
      <c r="I34" s="33"/>
    </row>
    <row r="35" spans="1:10" ht="15.75" thickBot="1">
      <c r="A35" s="16" t="s">
        <v>89</v>
      </c>
      <c r="B35" s="17">
        <v>57.1</v>
      </c>
      <c r="C35" s="157">
        <f t="shared" si="0"/>
        <v>93243.654999999999</v>
      </c>
      <c r="D35" s="106">
        <v>5324212.7005000003</v>
      </c>
      <c r="E35" s="226">
        <f t="shared" si="1"/>
        <v>94378.654999999999</v>
      </c>
      <c r="F35" s="106">
        <v>5389021.2005000003</v>
      </c>
      <c r="G35" s="18" t="s">
        <v>7</v>
      </c>
      <c r="I35" s="33"/>
    </row>
    <row r="36" spans="1:10">
      <c r="A36" s="28"/>
      <c r="B36" s="29"/>
      <c r="C36" s="30"/>
      <c r="D36" s="31"/>
      <c r="E36" s="32"/>
      <c r="F36" s="31"/>
      <c r="G36" s="28"/>
      <c r="I36" s="33"/>
    </row>
    <row r="37" spans="1:10" s="1" customFormat="1" ht="19.5" thickBot="1">
      <c r="A37" s="164" t="s">
        <v>127</v>
      </c>
      <c r="E37" s="4"/>
      <c r="F37" s="4"/>
      <c r="G37" s="4"/>
      <c r="H37" s="4"/>
      <c r="I37" s="4"/>
      <c r="J37" s="4"/>
    </row>
    <row r="38" spans="1:10" s="2" customFormat="1" ht="45">
      <c r="A38" s="5" t="s">
        <v>21</v>
      </c>
      <c r="B38" s="6" t="s">
        <v>72</v>
      </c>
      <c r="C38" s="7" t="s">
        <v>73</v>
      </c>
      <c r="D38" s="8" t="s">
        <v>74</v>
      </c>
      <c r="E38" s="7" t="s">
        <v>75</v>
      </c>
      <c r="F38" s="7" t="s">
        <v>74</v>
      </c>
      <c r="G38" s="9" t="s">
        <v>76</v>
      </c>
    </row>
    <row r="39" spans="1:10">
      <c r="A39" s="10" t="s">
        <v>77</v>
      </c>
      <c r="B39" s="11">
        <v>20.67</v>
      </c>
      <c r="C39" s="104">
        <f>D39/B39</f>
        <v>129897.5</v>
      </c>
      <c r="D39" s="104">
        <v>2684981.3250000002</v>
      </c>
      <c r="E39" s="105"/>
      <c r="F39" s="105"/>
      <c r="G39" s="12" t="s">
        <v>7</v>
      </c>
    </row>
    <row r="40" spans="1:10" ht="15.75" thickBot="1">
      <c r="A40" s="114" t="s">
        <v>90</v>
      </c>
      <c r="B40" s="115">
        <v>52.97</v>
      </c>
      <c r="C40" s="116">
        <f t="shared" ref="C40:C71" si="2">D40/B40</f>
        <v>91600.595000000001</v>
      </c>
      <c r="D40" s="116">
        <v>4852083.5171499997</v>
      </c>
      <c r="E40" s="106"/>
      <c r="F40" s="106"/>
      <c r="G40" s="117" t="s">
        <v>7</v>
      </c>
    </row>
    <row r="41" spans="1:10">
      <c r="A41" s="120" t="s">
        <v>91</v>
      </c>
      <c r="B41" s="20">
        <v>38.25</v>
      </c>
      <c r="C41" s="108">
        <f t="shared" si="2"/>
        <v>108712.5</v>
      </c>
      <c r="D41" s="108">
        <v>4158253.125</v>
      </c>
      <c r="E41" s="155"/>
      <c r="F41" s="155"/>
      <c r="G41" s="110" t="s">
        <v>7</v>
      </c>
      <c r="I41" s="33"/>
    </row>
    <row r="42" spans="1:10" ht="15.75" thickBot="1">
      <c r="A42" s="121" t="s">
        <v>91</v>
      </c>
      <c r="B42" s="115">
        <v>40.89</v>
      </c>
      <c r="C42" s="116">
        <f t="shared" si="2"/>
        <v>104810.00000000001</v>
      </c>
      <c r="D42" s="116">
        <v>4285680.9000000004</v>
      </c>
      <c r="E42" s="106"/>
      <c r="F42" s="106"/>
      <c r="G42" s="119" t="s">
        <v>7</v>
      </c>
      <c r="I42" s="33"/>
    </row>
    <row r="43" spans="1:10" s="2" customFormat="1">
      <c r="A43" s="22" t="s">
        <v>78</v>
      </c>
      <c r="B43" s="23">
        <v>38.25</v>
      </c>
      <c r="C43" s="156">
        <f t="shared" si="2"/>
        <v>108712.5</v>
      </c>
      <c r="D43" s="107">
        <v>4158253.125</v>
      </c>
      <c r="E43" s="223">
        <f>F43/B43</f>
        <v>109827.5</v>
      </c>
      <c r="F43" s="107">
        <v>4200901.875</v>
      </c>
      <c r="G43" s="25" t="s">
        <v>30</v>
      </c>
      <c r="I43" s="33"/>
      <c r="J43"/>
    </row>
    <row r="44" spans="1:10" s="2" customFormat="1">
      <c r="A44" s="13" t="s">
        <v>79</v>
      </c>
      <c r="B44" s="14">
        <v>43.2</v>
      </c>
      <c r="C44" s="232">
        <f t="shared" si="2"/>
        <v>102580.00000000001</v>
      </c>
      <c r="D44" s="105">
        <v>4431456.0000000009</v>
      </c>
      <c r="E44" s="225">
        <f t="shared" ref="E44:E71" si="3">F44/B44</f>
        <v>103695.00000000001</v>
      </c>
      <c r="F44" s="105">
        <v>4479624.0000000009</v>
      </c>
      <c r="G44" s="15" t="s">
        <v>30</v>
      </c>
      <c r="I44" s="33"/>
      <c r="J44"/>
    </row>
    <row r="45" spans="1:10" s="2" customFormat="1">
      <c r="A45" s="13" t="s">
        <v>79</v>
      </c>
      <c r="B45" s="14">
        <v>45.32</v>
      </c>
      <c r="C45" s="232">
        <f t="shared" si="2"/>
        <v>101465</v>
      </c>
      <c r="D45" s="105">
        <v>4598393.8</v>
      </c>
      <c r="E45" s="225">
        <f t="shared" si="3"/>
        <v>102579.99999999999</v>
      </c>
      <c r="F45" s="105">
        <v>4648925.5999999996</v>
      </c>
      <c r="G45" s="15" t="s">
        <v>30</v>
      </c>
      <c r="I45" s="33"/>
      <c r="J45"/>
    </row>
    <row r="46" spans="1:10" s="2" customFormat="1">
      <c r="A46" s="13" t="s">
        <v>79</v>
      </c>
      <c r="B46" s="14">
        <v>48.45</v>
      </c>
      <c r="C46" s="232">
        <f t="shared" si="2"/>
        <v>97883.62000000001</v>
      </c>
      <c r="D46" s="105">
        <v>4742461.3890000004</v>
      </c>
      <c r="E46" s="225">
        <f t="shared" si="3"/>
        <v>98998.62000000001</v>
      </c>
      <c r="F46" s="105">
        <v>4796483.1390000004</v>
      </c>
      <c r="G46" s="15" t="s">
        <v>30</v>
      </c>
      <c r="I46" s="33"/>
      <c r="J46"/>
    </row>
    <row r="47" spans="1:10" s="2" customFormat="1" ht="15.75" thickBot="1">
      <c r="A47" s="16" t="s">
        <v>79</v>
      </c>
      <c r="B47" s="17">
        <v>55.52</v>
      </c>
      <c r="C47" s="157">
        <f t="shared" si="2"/>
        <v>91600.595000000001</v>
      </c>
      <c r="D47" s="106">
        <v>5085665.0344000002</v>
      </c>
      <c r="E47" s="226">
        <f t="shared" si="3"/>
        <v>92715.595000000016</v>
      </c>
      <c r="F47" s="106">
        <v>5147569.834400001</v>
      </c>
      <c r="G47" s="18" t="s">
        <v>30</v>
      </c>
      <c r="I47" s="33"/>
      <c r="J47"/>
    </row>
    <row r="48" spans="1:10">
      <c r="A48" s="19" t="s">
        <v>80</v>
      </c>
      <c r="B48" s="20">
        <v>18.95</v>
      </c>
      <c r="C48" s="108">
        <f t="shared" si="2"/>
        <v>133242.5</v>
      </c>
      <c r="D48" s="104">
        <v>2524945.375</v>
      </c>
      <c r="E48" s="108">
        <f t="shared" si="3"/>
        <v>134357.5</v>
      </c>
      <c r="F48" s="108">
        <v>2546074.625</v>
      </c>
      <c r="G48" s="110" t="s">
        <v>30</v>
      </c>
      <c r="I48" s="33"/>
    </row>
    <row r="49" spans="1:9">
      <c r="A49" s="10" t="s">
        <v>80</v>
      </c>
      <c r="B49" s="11">
        <v>20.67</v>
      </c>
      <c r="C49" s="104">
        <f t="shared" si="2"/>
        <v>129897.5</v>
      </c>
      <c r="D49" s="104">
        <v>2684981.3250000002</v>
      </c>
      <c r="E49" s="104">
        <f t="shared" si="3"/>
        <v>131012.49999999999</v>
      </c>
      <c r="F49" s="104">
        <v>2708028.375</v>
      </c>
      <c r="G49" s="109" t="s">
        <v>30</v>
      </c>
      <c r="I49" s="33"/>
    </row>
    <row r="50" spans="1:9">
      <c r="A50" s="22" t="s">
        <v>81</v>
      </c>
      <c r="B50" s="23">
        <v>34.630000000000003</v>
      </c>
      <c r="C50" s="156">
        <f t="shared" si="2"/>
        <v>112842.46</v>
      </c>
      <c r="D50" s="105">
        <v>3907734.3898000005</v>
      </c>
      <c r="E50" s="223">
        <f t="shared" si="3"/>
        <v>113957.46</v>
      </c>
      <c r="F50" s="105">
        <v>3946346.8398000007</v>
      </c>
      <c r="G50" s="111" t="s">
        <v>30</v>
      </c>
      <c r="I50" s="33"/>
    </row>
    <row r="51" spans="1:9">
      <c r="A51" s="13" t="s">
        <v>82</v>
      </c>
      <c r="B51" s="14">
        <v>38.25</v>
      </c>
      <c r="C51" s="232">
        <f t="shared" si="2"/>
        <v>108712.5</v>
      </c>
      <c r="D51" s="105">
        <v>4158253.125</v>
      </c>
      <c r="E51" s="225">
        <f t="shared" si="3"/>
        <v>109827.5</v>
      </c>
      <c r="F51" s="105">
        <v>4200901.875</v>
      </c>
      <c r="G51" s="111" t="s">
        <v>30</v>
      </c>
      <c r="I51" s="33"/>
    </row>
    <row r="52" spans="1:9">
      <c r="A52" s="24" t="s">
        <v>81</v>
      </c>
      <c r="B52" s="14">
        <v>39</v>
      </c>
      <c r="C52" s="232">
        <f t="shared" si="2"/>
        <v>108460.51</v>
      </c>
      <c r="D52" s="105">
        <v>4229959.8899999997</v>
      </c>
      <c r="E52" s="232">
        <f t="shared" si="3"/>
        <v>109575.51</v>
      </c>
      <c r="F52" s="105">
        <v>4273444.8899999997</v>
      </c>
      <c r="G52" s="111" t="s">
        <v>30</v>
      </c>
      <c r="I52" s="33"/>
    </row>
    <row r="53" spans="1:9">
      <c r="A53" s="22" t="s">
        <v>83</v>
      </c>
      <c r="B53" s="23">
        <v>40.89</v>
      </c>
      <c r="C53" s="156">
        <f t="shared" si="2"/>
        <v>104810.00000000001</v>
      </c>
      <c r="D53" s="107">
        <v>4285680.9000000004</v>
      </c>
      <c r="E53" s="223">
        <f t="shared" si="3"/>
        <v>105925</v>
      </c>
      <c r="F53" s="107">
        <v>4331273.25</v>
      </c>
      <c r="G53" s="112" t="s">
        <v>30</v>
      </c>
      <c r="I53" s="33"/>
    </row>
    <row r="54" spans="1:9">
      <c r="A54" s="13" t="s">
        <v>83</v>
      </c>
      <c r="B54" s="14">
        <v>43.2</v>
      </c>
      <c r="C54" s="232">
        <f t="shared" si="2"/>
        <v>102580.00000000001</v>
      </c>
      <c r="D54" s="105">
        <v>4431456.0000000009</v>
      </c>
      <c r="E54" s="225">
        <f t="shared" si="3"/>
        <v>103695.00000000001</v>
      </c>
      <c r="F54" s="105">
        <v>4479624.0000000009</v>
      </c>
      <c r="G54" s="111" t="s">
        <v>30</v>
      </c>
      <c r="I54" s="33"/>
    </row>
    <row r="55" spans="1:9">
      <c r="A55" s="13" t="s">
        <v>83</v>
      </c>
      <c r="B55" s="14">
        <v>45.32</v>
      </c>
      <c r="C55" s="232">
        <f t="shared" si="2"/>
        <v>101465</v>
      </c>
      <c r="D55" s="105">
        <v>4598393.8</v>
      </c>
      <c r="E55" s="225">
        <f t="shared" si="3"/>
        <v>102579.99999999999</v>
      </c>
      <c r="F55" s="105">
        <v>4648925.5999999996</v>
      </c>
      <c r="G55" s="111" t="s">
        <v>30</v>
      </c>
      <c r="I55" s="33"/>
    </row>
    <row r="56" spans="1:9">
      <c r="A56" s="13" t="s">
        <v>83</v>
      </c>
      <c r="B56" s="14">
        <v>48.45</v>
      </c>
      <c r="C56" s="232">
        <f t="shared" si="2"/>
        <v>97883.62000000001</v>
      </c>
      <c r="D56" s="105">
        <v>4742461.3890000004</v>
      </c>
      <c r="E56" s="225">
        <f t="shared" si="3"/>
        <v>98998.62000000001</v>
      </c>
      <c r="F56" s="105">
        <v>4796483.1390000004</v>
      </c>
      <c r="G56" s="111" t="s">
        <v>30</v>
      </c>
      <c r="I56" s="33"/>
    </row>
    <row r="57" spans="1:9" ht="15.75" thickBot="1">
      <c r="A57" s="16" t="s">
        <v>83</v>
      </c>
      <c r="B57" s="17">
        <v>55.52</v>
      </c>
      <c r="C57" s="157">
        <f t="shared" si="2"/>
        <v>91600.595000000001</v>
      </c>
      <c r="D57" s="106">
        <v>5085665.0344000002</v>
      </c>
      <c r="E57" s="226">
        <f t="shared" si="3"/>
        <v>92715.595000000016</v>
      </c>
      <c r="F57" s="106">
        <v>5147569.834400001</v>
      </c>
      <c r="G57" s="113" t="s">
        <v>30</v>
      </c>
      <c r="I57" s="33"/>
    </row>
    <row r="58" spans="1:9">
      <c r="A58" s="19" t="s">
        <v>84</v>
      </c>
      <c r="B58" s="20">
        <v>17</v>
      </c>
      <c r="C58" s="108">
        <f t="shared" si="2"/>
        <v>140601.5</v>
      </c>
      <c r="D58" s="108">
        <v>2390225.5</v>
      </c>
      <c r="E58" s="108">
        <f t="shared" si="3"/>
        <v>141716.5</v>
      </c>
      <c r="F58" s="108">
        <v>2409180.5</v>
      </c>
      <c r="G58" s="110" t="s">
        <v>30</v>
      </c>
      <c r="I58" s="33"/>
    </row>
    <row r="59" spans="1:9">
      <c r="A59" s="26" t="s">
        <v>84</v>
      </c>
      <c r="B59" s="11">
        <v>17.3</v>
      </c>
      <c r="C59" s="104">
        <f t="shared" si="2"/>
        <v>140601.5</v>
      </c>
      <c r="D59" s="104">
        <v>2432405.9500000002</v>
      </c>
      <c r="E59" s="104">
        <f t="shared" si="3"/>
        <v>141716.5</v>
      </c>
      <c r="F59" s="104">
        <v>2451695.4500000002</v>
      </c>
      <c r="G59" s="109" t="s">
        <v>30</v>
      </c>
      <c r="I59" s="33"/>
    </row>
    <row r="60" spans="1:9">
      <c r="A60" s="27" t="s">
        <v>84</v>
      </c>
      <c r="B60" s="11">
        <v>20</v>
      </c>
      <c r="C60" s="104">
        <f t="shared" si="2"/>
        <v>135026.5</v>
      </c>
      <c r="D60" s="104">
        <v>2700530</v>
      </c>
      <c r="E60" s="104">
        <f t="shared" si="3"/>
        <v>136141.5</v>
      </c>
      <c r="F60" s="104">
        <v>2722830</v>
      </c>
      <c r="G60" s="109" t="s">
        <v>30</v>
      </c>
      <c r="I60" s="33"/>
    </row>
    <row r="61" spans="1:9">
      <c r="A61" s="26" t="s">
        <v>84</v>
      </c>
      <c r="B61" s="11">
        <v>20.3</v>
      </c>
      <c r="C61" s="104">
        <f t="shared" si="2"/>
        <v>135026.5</v>
      </c>
      <c r="D61" s="104">
        <v>2741037.95</v>
      </c>
      <c r="E61" s="104">
        <f t="shared" si="3"/>
        <v>136141.5</v>
      </c>
      <c r="F61" s="104">
        <v>2763672.45</v>
      </c>
      <c r="G61" s="109" t="s">
        <v>30</v>
      </c>
      <c r="I61" s="33"/>
    </row>
    <row r="62" spans="1:9">
      <c r="A62" s="13" t="s">
        <v>85</v>
      </c>
      <c r="B62" s="14">
        <v>42.1</v>
      </c>
      <c r="C62" s="232">
        <f t="shared" si="2"/>
        <v>103695</v>
      </c>
      <c r="D62" s="105">
        <v>4365559.5</v>
      </c>
      <c r="E62" s="225">
        <f t="shared" si="3"/>
        <v>104810</v>
      </c>
      <c r="F62" s="105">
        <v>4412501</v>
      </c>
      <c r="G62" s="111" t="s">
        <v>30</v>
      </c>
      <c r="I62" s="33"/>
    </row>
    <row r="63" spans="1:9">
      <c r="A63" s="22" t="s">
        <v>86</v>
      </c>
      <c r="B63" s="14">
        <v>46.7</v>
      </c>
      <c r="C63" s="232">
        <f t="shared" si="2"/>
        <v>102580</v>
      </c>
      <c r="D63" s="105">
        <v>4790486</v>
      </c>
      <c r="E63" s="225">
        <f t="shared" si="3"/>
        <v>103695</v>
      </c>
      <c r="F63" s="105">
        <v>4842556.5</v>
      </c>
      <c r="G63" s="111" t="s">
        <v>30</v>
      </c>
      <c r="I63" s="33"/>
    </row>
    <row r="64" spans="1:9" ht="15.75" thickBot="1">
      <c r="A64" s="16" t="s">
        <v>86</v>
      </c>
      <c r="B64" s="17">
        <v>57.1</v>
      </c>
      <c r="C64" s="157">
        <f t="shared" si="2"/>
        <v>92715.594999999987</v>
      </c>
      <c r="D64" s="106">
        <v>5294060.4744999995</v>
      </c>
      <c r="E64" s="226">
        <f t="shared" si="3"/>
        <v>93830.594999999987</v>
      </c>
      <c r="F64" s="106">
        <v>5357726.9744999995</v>
      </c>
      <c r="G64" s="113" t="s">
        <v>30</v>
      </c>
      <c r="I64" s="33"/>
    </row>
    <row r="65" spans="1:10">
      <c r="A65" s="19" t="s">
        <v>87</v>
      </c>
      <c r="B65" s="20">
        <v>17</v>
      </c>
      <c r="C65" s="108">
        <f t="shared" si="2"/>
        <v>139486.5</v>
      </c>
      <c r="D65" s="108">
        <v>2371270.5</v>
      </c>
      <c r="E65" s="108">
        <f t="shared" si="3"/>
        <v>140601.5</v>
      </c>
      <c r="F65" s="108">
        <v>2390225.5</v>
      </c>
      <c r="G65" s="21" t="s">
        <v>7</v>
      </c>
      <c r="I65" s="33"/>
    </row>
    <row r="66" spans="1:10">
      <c r="A66" s="26" t="s">
        <v>87</v>
      </c>
      <c r="B66" s="11">
        <v>17.3</v>
      </c>
      <c r="C66" s="104">
        <f t="shared" si="2"/>
        <v>139486.5</v>
      </c>
      <c r="D66" s="104">
        <v>2413116.4500000002</v>
      </c>
      <c r="E66" s="104">
        <f t="shared" si="3"/>
        <v>140601.5</v>
      </c>
      <c r="F66" s="104">
        <v>2432405.9500000002</v>
      </c>
      <c r="G66" s="12" t="s">
        <v>7</v>
      </c>
      <c r="I66" s="33"/>
    </row>
    <row r="67" spans="1:10">
      <c r="A67" s="27" t="s">
        <v>87</v>
      </c>
      <c r="B67" s="11">
        <v>20</v>
      </c>
      <c r="C67" s="104">
        <f t="shared" si="2"/>
        <v>133911.5</v>
      </c>
      <c r="D67" s="104">
        <v>2678230</v>
      </c>
      <c r="E67" s="104">
        <f t="shared" si="3"/>
        <v>135026.5</v>
      </c>
      <c r="F67" s="104">
        <v>2700530</v>
      </c>
      <c r="G67" s="12" t="s">
        <v>7</v>
      </c>
      <c r="I67" s="33"/>
    </row>
    <row r="68" spans="1:10">
      <c r="A68" s="26" t="s">
        <v>87</v>
      </c>
      <c r="B68" s="11">
        <v>20.3</v>
      </c>
      <c r="C68" s="104">
        <f t="shared" si="2"/>
        <v>133911.5</v>
      </c>
      <c r="D68" s="104">
        <v>2718403.45</v>
      </c>
      <c r="E68" s="104">
        <f t="shared" si="3"/>
        <v>135026.5</v>
      </c>
      <c r="F68" s="104">
        <v>2741037.95</v>
      </c>
      <c r="G68" s="12" t="s">
        <v>7</v>
      </c>
      <c r="I68" s="33"/>
    </row>
    <row r="69" spans="1:10">
      <c r="A69" s="13" t="s">
        <v>88</v>
      </c>
      <c r="B69" s="14">
        <v>42.1</v>
      </c>
      <c r="C69" s="232">
        <f t="shared" si="2"/>
        <v>102580</v>
      </c>
      <c r="D69" s="105">
        <v>4318618</v>
      </c>
      <c r="E69" s="225">
        <f t="shared" si="3"/>
        <v>103695</v>
      </c>
      <c r="F69" s="105">
        <v>4365559.5</v>
      </c>
      <c r="G69" s="15" t="s">
        <v>7</v>
      </c>
      <c r="I69" s="33"/>
    </row>
    <row r="70" spans="1:10">
      <c r="A70" s="22" t="s">
        <v>89</v>
      </c>
      <c r="B70" s="14">
        <v>46.7</v>
      </c>
      <c r="C70" s="232">
        <f t="shared" si="2"/>
        <v>101465</v>
      </c>
      <c r="D70" s="105">
        <v>4738415.5</v>
      </c>
      <c r="E70" s="225">
        <f t="shared" si="3"/>
        <v>102580</v>
      </c>
      <c r="F70" s="105">
        <v>4790486</v>
      </c>
      <c r="G70" s="15" t="s">
        <v>7</v>
      </c>
      <c r="I70" s="33"/>
    </row>
    <row r="71" spans="1:10" ht="15.75" thickBot="1">
      <c r="A71" s="16" t="s">
        <v>89</v>
      </c>
      <c r="B71" s="17">
        <v>57.1</v>
      </c>
      <c r="C71" s="157">
        <f t="shared" si="2"/>
        <v>91600.594999999987</v>
      </c>
      <c r="D71" s="106">
        <v>5230393.9744999995</v>
      </c>
      <c r="E71" s="226">
        <f t="shared" si="3"/>
        <v>92715.594999999987</v>
      </c>
      <c r="F71" s="106">
        <v>5294060.4744999995</v>
      </c>
      <c r="G71" s="18" t="s">
        <v>7</v>
      </c>
      <c r="I71" s="33"/>
    </row>
    <row r="73" spans="1:10" s="1" customFormat="1" ht="19.5" thickBot="1">
      <c r="A73" s="164" t="s">
        <v>128</v>
      </c>
      <c r="E73" s="4"/>
      <c r="F73" s="4"/>
      <c r="G73" s="4"/>
      <c r="H73" s="4"/>
      <c r="I73" s="4"/>
      <c r="J73" s="4"/>
    </row>
    <row r="74" spans="1:10" s="2" customFormat="1" ht="45">
      <c r="A74" s="5" t="s">
        <v>21</v>
      </c>
      <c r="B74" s="6" t="s">
        <v>72</v>
      </c>
      <c r="C74" s="7" t="s">
        <v>73</v>
      </c>
      <c r="D74" s="8" t="s">
        <v>74</v>
      </c>
      <c r="E74" s="7" t="s">
        <v>75</v>
      </c>
      <c r="F74" s="7" t="s">
        <v>74</v>
      </c>
      <c r="G74" s="9" t="s">
        <v>76</v>
      </c>
    </row>
    <row r="75" spans="1:10">
      <c r="A75" s="10" t="s">
        <v>77</v>
      </c>
      <c r="B75" s="11">
        <v>20.67</v>
      </c>
      <c r="C75" s="104">
        <f>D75/B75</f>
        <v>125820.00000000001</v>
      </c>
      <c r="D75" s="104">
        <v>2600699.4000000004</v>
      </c>
      <c r="E75" s="105"/>
      <c r="F75" s="105"/>
      <c r="G75" s="12" t="s">
        <v>7</v>
      </c>
    </row>
    <row r="76" spans="1:10" ht="15.75" thickBot="1">
      <c r="A76" s="114" t="s">
        <v>90</v>
      </c>
      <c r="B76" s="115">
        <v>52.97</v>
      </c>
      <c r="C76" s="116">
        <f t="shared" ref="C76:C107" si="4">D76/B76</f>
        <v>88725.24000000002</v>
      </c>
      <c r="D76" s="116">
        <v>4699775.9628000008</v>
      </c>
      <c r="E76" s="106"/>
      <c r="F76" s="106"/>
      <c r="G76" s="117" t="s">
        <v>7</v>
      </c>
    </row>
    <row r="77" spans="1:10">
      <c r="A77" s="120" t="s">
        <v>91</v>
      </c>
      <c r="B77" s="20">
        <v>38.25</v>
      </c>
      <c r="C77" s="108">
        <f t="shared" si="4"/>
        <v>105300.00000000001</v>
      </c>
      <c r="D77" s="108">
        <v>4027725.0000000005</v>
      </c>
      <c r="E77" s="155"/>
      <c r="F77" s="155"/>
      <c r="G77" s="110" t="s">
        <v>7</v>
      </c>
      <c r="I77" s="33"/>
    </row>
    <row r="78" spans="1:10" ht="15.75" thickBot="1">
      <c r="A78" s="121" t="s">
        <v>91</v>
      </c>
      <c r="B78" s="115">
        <v>40.89</v>
      </c>
      <c r="C78" s="116">
        <f t="shared" si="4"/>
        <v>101520</v>
      </c>
      <c r="D78" s="116">
        <v>4151152.8000000003</v>
      </c>
      <c r="E78" s="106"/>
      <c r="F78" s="106"/>
      <c r="G78" s="119" t="s">
        <v>7</v>
      </c>
      <c r="I78" s="33"/>
    </row>
    <row r="79" spans="1:10" s="2" customFormat="1">
      <c r="A79" s="22" t="s">
        <v>78</v>
      </c>
      <c r="B79" s="23">
        <v>38.25</v>
      </c>
      <c r="C79" s="156">
        <f t="shared" si="4"/>
        <v>105300.00000000001</v>
      </c>
      <c r="D79" s="107">
        <v>4027725.0000000005</v>
      </c>
      <c r="E79" s="223">
        <f>F79/B79</f>
        <v>106380.00000000001</v>
      </c>
      <c r="F79" s="107">
        <v>4069035.0000000005</v>
      </c>
      <c r="G79" s="25" t="s">
        <v>30</v>
      </c>
      <c r="I79" s="33"/>
      <c r="J79"/>
    </row>
    <row r="80" spans="1:10" s="2" customFormat="1">
      <c r="A80" s="13" t="s">
        <v>79</v>
      </c>
      <c r="B80" s="14">
        <v>43.2</v>
      </c>
      <c r="C80" s="232">
        <f t="shared" si="4"/>
        <v>99360.000000000015</v>
      </c>
      <c r="D80" s="105">
        <v>4292352.0000000009</v>
      </c>
      <c r="E80" s="225">
        <f t="shared" ref="E80:E107" si="5">F80/B80</f>
        <v>100440.00000000001</v>
      </c>
      <c r="F80" s="105">
        <v>4339008.0000000009</v>
      </c>
      <c r="G80" s="15" t="s">
        <v>30</v>
      </c>
      <c r="I80" s="33"/>
      <c r="J80"/>
    </row>
    <row r="81" spans="1:10" s="2" customFormat="1">
      <c r="A81" s="13" t="s">
        <v>79</v>
      </c>
      <c r="B81" s="14">
        <v>45.32</v>
      </c>
      <c r="C81" s="232">
        <f t="shared" si="4"/>
        <v>98280.000000000015</v>
      </c>
      <c r="D81" s="105">
        <v>4454049.6000000006</v>
      </c>
      <c r="E81" s="225">
        <f t="shared" si="5"/>
        <v>99360</v>
      </c>
      <c r="F81" s="105">
        <v>4502995.2</v>
      </c>
      <c r="G81" s="15" t="s">
        <v>30</v>
      </c>
      <c r="I81" s="33"/>
      <c r="J81"/>
    </row>
    <row r="82" spans="1:10" s="2" customFormat="1">
      <c r="A82" s="13" t="s">
        <v>79</v>
      </c>
      <c r="B82" s="14">
        <v>48.45</v>
      </c>
      <c r="C82" s="232">
        <f t="shared" si="4"/>
        <v>94811.040000000023</v>
      </c>
      <c r="D82" s="105">
        <v>4593594.8880000012</v>
      </c>
      <c r="E82" s="225">
        <f t="shared" si="5"/>
        <v>95891.040000000023</v>
      </c>
      <c r="F82" s="105">
        <v>4645920.8880000012</v>
      </c>
      <c r="G82" s="15" t="s">
        <v>30</v>
      </c>
      <c r="I82" s="33"/>
      <c r="J82"/>
    </row>
    <row r="83" spans="1:10" s="2" customFormat="1" ht="15.75" thickBot="1">
      <c r="A83" s="16" t="s">
        <v>79</v>
      </c>
      <c r="B83" s="17">
        <v>55.52</v>
      </c>
      <c r="C83" s="157">
        <f t="shared" si="4"/>
        <v>88725.24</v>
      </c>
      <c r="D83" s="106">
        <v>4926025.3248000005</v>
      </c>
      <c r="E83" s="226">
        <f t="shared" si="5"/>
        <v>89805.24000000002</v>
      </c>
      <c r="F83" s="106">
        <v>4985986.9248000011</v>
      </c>
      <c r="G83" s="18" t="s">
        <v>30</v>
      </c>
      <c r="I83" s="33"/>
      <c r="J83"/>
    </row>
    <row r="84" spans="1:10">
      <c r="A84" s="19" t="s">
        <v>80</v>
      </c>
      <c r="B84" s="20">
        <v>18.95</v>
      </c>
      <c r="C84" s="108">
        <f t="shared" si="4"/>
        <v>129060</v>
      </c>
      <c r="D84" s="104">
        <v>2445687</v>
      </c>
      <c r="E84" s="108">
        <f t="shared" si="5"/>
        <v>130140</v>
      </c>
      <c r="F84" s="108">
        <v>2466153</v>
      </c>
      <c r="G84" s="110" t="s">
        <v>30</v>
      </c>
      <c r="I84" s="33"/>
    </row>
    <row r="85" spans="1:10">
      <c r="A85" s="10" t="s">
        <v>80</v>
      </c>
      <c r="B85" s="11">
        <v>20.67</v>
      </c>
      <c r="C85" s="104">
        <f t="shared" si="4"/>
        <v>125820.00000000001</v>
      </c>
      <c r="D85" s="104">
        <v>2600699.4000000004</v>
      </c>
      <c r="E85" s="104">
        <f t="shared" si="5"/>
        <v>126899.99999999999</v>
      </c>
      <c r="F85" s="104">
        <v>2623023</v>
      </c>
      <c r="G85" s="109" t="s">
        <v>30</v>
      </c>
      <c r="I85" s="33"/>
    </row>
    <row r="86" spans="1:10">
      <c r="A86" s="22" t="s">
        <v>81</v>
      </c>
      <c r="B86" s="23">
        <v>34.630000000000003</v>
      </c>
      <c r="C86" s="156">
        <f t="shared" si="4"/>
        <v>109300.32</v>
      </c>
      <c r="D86" s="105">
        <v>3785070.0816000006</v>
      </c>
      <c r="E86" s="223">
        <f t="shared" si="5"/>
        <v>110380.32000000002</v>
      </c>
      <c r="F86" s="105">
        <v>3822470.481600001</v>
      </c>
      <c r="G86" s="111" t="s">
        <v>30</v>
      </c>
      <c r="I86" s="33"/>
    </row>
    <row r="87" spans="1:10">
      <c r="A87" s="13" t="s">
        <v>82</v>
      </c>
      <c r="B87" s="14">
        <v>38.25</v>
      </c>
      <c r="C87" s="232">
        <f t="shared" si="4"/>
        <v>105300.00000000001</v>
      </c>
      <c r="D87" s="105">
        <v>4027725.0000000005</v>
      </c>
      <c r="E87" s="225">
        <f t="shared" si="5"/>
        <v>106380.00000000001</v>
      </c>
      <c r="F87" s="105">
        <v>4069035.0000000005</v>
      </c>
      <c r="G87" s="111" t="s">
        <v>30</v>
      </c>
      <c r="I87" s="33"/>
    </row>
    <row r="88" spans="1:10">
      <c r="A88" s="24" t="s">
        <v>81</v>
      </c>
      <c r="B88" s="14">
        <v>39</v>
      </c>
      <c r="C88" s="232">
        <f t="shared" si="4"/>
        <v>105055.92000000001</v>
      </c>
      <c r="D88" s="105">
        <v>4097180.8800000004</v>
      </c>
      <c r="E88" s="232">
        <f t="shared" si="5"/>
        <v>106135.92000000001</v>
      </c>
      <c r="F88" s="105">
        <v>4139300.8800000004</v>
      </c>
      <c r="G88" s="111" t="s">
        <v>30</v>
      </c>
      <c r="I88" s="33"/>
    </row>
    <row r="89" spans="1:10">
      <c r="A89" s="22" t="s">
        <v>83</v>
      </c>
      <c r="B89" s="23">
        <v>40.89</v>
      </c>
      <c r="C89" s="156">
        <f t="shared" si="4"/>
        <v>101520</v>
      </c>
      <c r="D89" s="107">
        <v>4151152.8000000003</v>
      </c>
      <c r="E89" s="223">
        <f t="shared" si="5"/>
        <v>102600</v>
      </c>
      <c r="F89" s="107">
        <v>4195314</v>
      </c>
      <c r="G89" s="112" t="s">
        <v>30</v>
      </c>
      <c r="I89" s="33"/>
    </row>
    <row r="90" spans="1:10">
      <c r="A90" s="13" t="s">
        <v>83</v>
      </c>
      <c r="B90" s="14">
        <v>43.2</v>
      </c>
      <c r="C90" s="232">
        <f t="shared" si="4"/>
        <v>99360.000000000015</v>
      </c>
      <c r="D90" s="105">
        <v>4292352.0000000009</v>
      </c>
      <c r="E90" s="225">
        <f t="shared" si="5"/>
        <v>100440.00000000001</v>
      </c>
      <c r="F90" s="105">
        <v>4339008.0000000009</v>
      </c>
      <c r="G90" s="111" t="s">
        <v>30</v>
      </c>
      <c r="I90" s="33"/>
    </row>
    <row r="91" spans="1:10">
      <c r="A91" s="13" t="s">
        <v>83</v>
      </c>
      <c r="B91" s="14">
        <v>45.32</v>
      </c>
      <c r="C91" s="232">
        <f t="shared" si="4"/>
        <v>98280.000000000015</v>
      </c>
      <c r="D91" s="105">
        <v>4454049.6000000006</v>
      </c>
      <c r="E91" s="225">
        <f t="shared" si="5"/>
        <v>99360</v>
      </c>
      <c r="F91" s="105">
        <v>4502995.2</v>
      </c>
      <c r="G91" s="111" t="s">
        <v>30</v>
      </c>
      <c r="I91" s="33"/>
    </row>
    <row r="92" spans="1:10">
      <c r="A92" s="13" t="s">
        <v>83</v>
      </c>
      <c r="B92" s="14">
        <v>48.45</v>
      </c>
      <c r="C92" s="232">
        <f t="shared" si="4"/>
        <v>94811.040000000023</v>
      </c>
      <c r="D92" s="105">
        <v>4593594.8880000012</v>
      </c>
      <c r="E92" s="225">
        <f t="shared" si="5"/>
        <v>95891.040000000023</v>
      </c>
      <c r="F92" s="105">
        <v>4645920.8880000012</v>
      </c>
      <c r="G92" s="111" t="s">
        <v>30</v>
      </c>
      <c r="I92" s="33"/>
    </row>
    <row r="93" spans="1:10" ht="15.75" thickBot="1">
      <c r="A93" s="16" t="s">
        <v>83</v>
      </c>
      <c r="B93" s="17">
        <v>55.52</v>
      </c>
      <c r="C93" s="157">
        <f t="shared" si="4"/>
        <v>88725.24</v>
      </c>
      <c r="D93" s="106">
        <v>4926025.3248000005</v>
      </c>
      <c r="E93" s="226">
        <f t="shared" si="5"/>
        <v>89805.24000000002</v>
      </c>
      <c r="F93" s="106">
        <v>4985986.9248000011</v>
      </c>
      <c r="G93" s="113" t="s">
        <v>30</v>
      </c>
      <c r="I93" s="33"/>
    </row>
    <row r="94" spans="1:10">
      <c r="A94" s="19" t="s">
        <v>84</v>
      </c>
      <c r="B94" s="20">
        <v>17</v>
      </c>
      <c r="C94" s="108">
        <f t="shared" si="4"/>
        <v>136188</v>
      </c>
      <c r="D94" s="108">
        <v>2315196</v>
      </c>
      <c r="E94" s="108">
        <f t="shared" si="5"/>
        <v>137268</v>
      </c>
      <c r="F94" s="108">
        <v>2333556</v>
      </c>
      <c r="G94" s="110" t="s">
        <v>30</v>
      </c>
      <c r="I94" s="33"/>
    </row>
    <row r="95" spans="1:10">
      <c r="A95" s="26" t="s">
        <v>84</v>
      </c>
      <c r="B95" s="11">
        <v>17.3</v>
      </c>
      <c r="C95" s="104">
        <f t="shared" si="4"/>
        <v>136188.00000000003</v>
      </c>
      <c r="D95" s="104">
        <v>2356052.4000000004</v>
      </c>
      <c r="E95" s="104">
        <f t="shared" si="5"/>
        <v>137268.00000000003</v>
      </c>
      <c r="F95" s="104">
        <v>2374736.4000000004</v>
      </c>
      <c r="G95" s="109" t="s">
        <v>30</v>
      </c>
      <c r="I95" s="33"/>
    </row>
    <row r="96" spans="1:10">
      <c r="A96" s="27" t="s">
        <v>84</v>
      </c>
      <c r="B96" s="11">
        <v>20</v>
      </c>
      <c r="C96" s="104">
        <f t="shared" si="4"/>
        <v>130788</v>
      </c>
      <c r="D96" s="104">
        <v>2615760</v>
      </c>
      <c r="E96" s="104">
        <f t="shared" si="5"/>
        <v>131868</v>
      </c>
      <c r="F96" s="104">
        <v>2637360</v>
      </c>
      <c r="G96" s="109" t="s">
        <v>30</v>
      </c>
      <c r="I96" s="33"/>
    </row>
    <row r="97" spans="1:9">
      <c r="A97" s="26" t="s">
        <v>84</v>
      </c>
      <c r="B97" s="11">
        <v>20.3</v>
      </c>
      <c r="C97" s="104">
        <f t="shared" si="4"/>
        <v>130788.00000000001</v>
      </c>
      <c r="D97" s="104">
        <v>2654996.4000000004</v>
      </c>
      <c r="E97" s="104">
        <f t="shared" si="5"/>
        <v>131868</v>
      </c>
      <c r="F97" s="104">
        <v>2676920.4000000004</v>
      </c>
      <c r="G97" s="109" t="s">
        <v>30</v>
      </c>
      <c r="I97" s="33"/>
    </row>
    <row r="98" spans="1:9">
      <c r="A98" s="13" t="s">
        <v>85</v>
      </c>
      <c r="B98" s="14">
        <v>42.1</v>
      </c>
      <c r="C98" s="232">
        <f t="shared" si="4"/>
        <v>100440</v>
      </c>
      <c r="D98" s="105">
        <v>4228524</v>
      </c>
      <c r="E98" s="225">
        <f t="shared" si="5"/>
        <v>101520</v>
      </c>
      <c r="F98" s="105">
        <v>4273992</v>
      </c>
      <c r="G98" s="111" t="s">
        <v>30</v>
      </c>
      <c r="I98" s="33"/>
    </row>
    <row r="99" spans="1:9">
      <c r="A99" s="22" t="s">
        <v>86</v>
      </c>
      <c r="B99" s="14">
        <v>46.7</v>
      </c>
      <c r="C99" s="232">
        <f t="shared" si="4"/>
        <v>99360</v>
      </c>
      <c r="D99" s="105">
        <v>4640112</v>
      </c>
      <c r="E99" s="225">
        <f t="shared" si="5"/>
        <v>100440</v>
      </c>
      <c r="F99" s="105">
        <v>4690548</v>
      </c>
      <c r="G99" s="111" t="s">
        <v>30</v>
      </c>
      <c r="I99" s="33"/>
    </row>
    <row r="100" spans="1:9" ht="15.75" thickBot="1">
      <c r="A100" s="16" t="s">
        <v>86</v>
      </c>
      <c r="B100" s="17">
        <v>57.1</v>
      </c>
      <c r="C100" s="157">
        <f t="shared" si="4"/>
        <v>89805.239999999991</v>
      </c>
      <c r="D100" s="106">
        <v>5127879.2039999999</v>
      </c>
      <c r="E100" s="226">
        <f t="shared" si="5"/>
        <v>90885.239999999991</v>
      </c>
      <c r="F100" s="106">
        <v>5189547.2039999999</v>
      </c>
      <c r="G100" s="113" t="s">
        <v>30</v>
      </c>
      <c r="I100" s="33"/>
    </row>
    <row r="101" spans="1:9">
      <c r="A101" s="19" t="s">
        <v>87</v>
      </c>
      <c r="B101" s="20">
        <v>17</v>
      </c>
      <c r="C101" s="108">
        <f t="shared" si="4"/>
        <v>135108</v>
      </c>
      <c r="D101" s="108">
        <v>2296836</v>
      </c>
      <c r="E101" s="108">
        <f t="shared" si="5"/>
        <v>136188</v>
      </c>
      <c r="F101" s="108">
        <v>2315196</v>
      </c>
      <c r="G101" s="21" t="s">
        <v>7</v>
      </c>
      <c r="I101" s="33"/>
    </row>
    <row r="102" spans="1:9">
      <c r="A102" s="26" t="s">
        <v>87</v>
      </c>
      <c r="B102" s="11">
        <v>17.3</v>
      </c>
      <c r="C102" s="104">
        <f t="shared" si="4"/>
        <v>135108.00000000003</v>
      </c>
      <c r="D102" s="104">
        <v>2337368.4000000004</v>
      </c>
      <c r="E102" s="104">
        <f t="shared" si="5"/>
        <v>136188.00000000003</v>
      </c>
      <c r="F102" s="104">
        <v>2356052.4000000004</v>
      </c>
      <c r="G102" s="12" t="s">
        <v>7</v>
      </c>
      <c r="I102" s="33"/>
    </row>
    <row r="103" spans="1:9">
      <c r="A103" s="27" t="s">
        <v>87</v>
      </c>
      <c r="B103" s="11">
        <v>20</v>
      </c>
      <c r="C103" s="104">
        <f t="shared" si="4"/>
        <v>129708</v>
      </c>
      <c r="D103" s="104">
        <v>2594160</v>
      </c>
      <c r="E103" s="104">
        <f t="shared" si="5"/>
        <v>130788</v>
      </c>
      <c r="F103" s="104">
        <v>2615760</v>
      </c>
      <c r="G103" s="12" t="s">
        <v>7</v>
      </c>
      <c r="I103" s="33"/>
    </row>
    <row r="104" spans="1:9">
      <c r="A104" s="26" t="s">
        <v>87</v>
      </c>
      <c r="B104" s="11">
        <v>20.3</v>
      </c>
      <c r="C104" s="104">
        <f t="shared" si="4"/>
        <v>129708.00000000001</v>
      </c>
      <c r="D104" s="104">
        <v>2633072.4000000004</v>
      </c>
      <c r="E104" s="104">
        <f t="shared" si="5"/>
        <v>130788.00000000001</v>
      </c>
      <c r="F104" s="104">
        <v>2654996.4000000004</v>
      </c>
      <c r="G104" s="12" t="s">
        <v>7</v>
      </c>
      <c r="I104" s="33"/>
    </row>
    <row r="105" spans="1:9">
      <c r="A105" s="13" t="s">
        <v>88</v>
      </c>
      <c r="B105" s="14">
        <v>42.1</v>
      </c>
      <c r="C105" s="232">
        <f t="shared" si="4"/>
        <v>99360.000000000015</v>
      </c>
      <c r="D105" s="105">
        <v>4183056.0000000005</v>
      </c>
      <c r="E105" s="225">
        <f t="shared" si="5"/>
        <v>100440</v>
      </c>
      <c r="F105" s="105">
        <v>4228524</v>
      </c>
      <c r="G105" s="15" t="s">
        <v>7</v>
      </c>
      <c r="I105" s="33"/>
    </row>
    <row r="106" spans="1:9">
      <c r="A106" s="22" t="s">
        <v>89</v>
      </c>
      <c r="B106" s="14">
        <v>46.7</v>
      </c>
      <c r="C106" s="232">
        <f t="shared" si="4"/>
        <v>98280</v>
      </c>
      <c r="D106" s="105">
        <v>4589676</v>
      </c>
      <c r="E106" s="225">
        <f t="shared" si="5"/>
        <v>99360</v>
      </c>
      <c r="F106" s="105">
        <v>4640112</v>
      </c>
      <c r="G106" s="15" t="s">
        <v>7</v>
      </c>
      <c r="I106" s="33"/>
    </row>
    <row r="107" spans="1:9" ht="15.75" thickBot="1">
      <c r="A107" s="16" t="s">
        <v>89</v>
      </c>
      <c r="B107" s="17">
        <v>57.1</v>
      </c>
      <c r="C107" s="157">
        <f t="shared" si="4"/>
        <v>88725.239999999991</v>
      </c>
      <c r="D107" s="106">
        <v>5066211.2039999999</v>
      </c>
      <c r="E107" s="226">
        <f t="shared" si="5"/>
        <v>89805.239999999991</v>
      </c>
      <c r="F107" s="106">
        <v>5127879.2039999999</v>
      </c>
      <c r="G107" s="18" t="s">
        <v>7</v>
      </c>
      <c r="I107" s="33"/>
    </row>
  </sheetData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Предложения</vt:lpstr>
      <vt:lpstr>Кольцово Акция до 31.03.</vt:lpstr>
      <vt:lpstr>СБЕРБАНК ВЛ АКЦИЯ до 31.03.</vt:lpstr>
      <vt:lpstr>ЖК ВЛ АКЦИЯ до 31.03.</vt:lpstr>
      <vt:lpstr>ЖК ВЛ</vt:lpstr>
      <vt:lpstr>СБЕРБАНК ЛМ3 Акция до 31.03</vt:lpstr>
      <vt:lpstr>ЖК ЛМ3 Акция до 31.03</vt:lpstr>
      <vt:lpstr>ЖК ЛМ3</vt:lpstr>
      <vt:lpstr>СБЕРБАНК Медовый</vt:lpstr>
      <vt:lpstr>ЖК Медовый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Маркова</cp:lastModifiedBy>
  <cp:lastPrinted>2025-01-31T12:26:24Z</cp:lastPrinted>
  <dcterms:created xsi:type="dcterms:W3CDTF">2019-02-27T13:48:00Z</dcterms:created>
  <dcterms:modified xsi:type="dcterms:W3CDTF">2025-02-12T14:00:55Z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6A13B7911CBE41D494C52A97D58F283D_12</vt:lpwstr>
  </property>
  <property fmtid="{D5CDD505-2E9C-101B-9397-08002B2CF9AE}" pid="3" name="KSOProductBuildVer">
    <vt:lpwstr>1049-12.2.0.19307</vt:lpwstr>
  </property>
</Properties>
</file>